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628"/>
  <workbookPr defaultThemeVersion="124226"/>
  <mc:AlternateContent xmlns:mc="http://schemas.openxmlformats.org/markup-compatibility/2006">
    <mc:Choice Requires="x15">
      <x15ac:absPath xmlns:x15ac="http://schemas.microsoft.com/office/spreadsheetml/2010/11/ac" url="C:\Users\bszabo\Documents\Eloiranyzat\2025\202509\"/>
    </mc:Choice>
  </mc:AlternateContent>
  <xr:revisionPtr revIDLastSave="0" documentId="8_{7B9E2714-A378-4F46-85B3-F3C748BDE45D}" xr6:coauthVersionLast="47" xr6:coauthVersionMax="47" xr10:uidLastSave="{00000000-0000-0000-0000-000000000000}"/>
  <bookViews>
    <workbookView xWindow="-120" yWindow="-120" windowWidth="29040" windowHeight="15720" tabRatio="741" activeTab="13" xr2:uid="{00000000-000D-0000-FFFF-FFFF00000000}"/>
  </bookViews>
  <sheets>
    <sheet name="1.Onbe" sheetId="113" r:id="rId1"/>
    <sheet name="2.Onki" sheetId="115" r:id="rId2"/>
    <sheet name="3.Inbe " sheetId="181" r:id="rId3"/>
    <sheet name="4.Inki" sheetId="182" r:id="rId4"/>
    <sheet name="5.Infelhki" sheetId="185" r:id="rId5"/>
    <sheet name="6.Önk.műk." sheetId="105" r:id="rId6"/>
    <sheet name="7.Beruh." sheetId="134" r:id="rId7"/>
    <sheet name="8.Felúj." sheetId="147" r:id="rId8"/>
    <sheet name="9.Projekt" sheetId="144" r:id="rId9"/>
    <sheet name="10.Mérleg" sheetId="109" r:id="rId10"/>
    <sheet name="11.Létszám" sheetId="187" r:id="rId11"/>
    <sheet name="12.EU" sheetId="190" r:id="rId12"/>
    <sheet name="13.Összefoglaló_ei_átcsop" sheetId="188" r:id="rId13"/>
    <sheet name="14.Alap" sheetId="189" r:id="rId14"/>
  </sheets>
  <definedNames>
    <definedName name="_4._sz._sor_részletezése" localSheetId="0">#REF!</definedName>
    <definedName name="_4._sz._sor_részletezése" localSheetId="11">#REF!</definedName>
    <definedName name="_4._sz._sor_részletezése" localSheetId="12">#REF!</definedName>
    <definedName name="_4._sz._sor_részletezése" localSheetId="4">#REF!</definedName>
    <definedName name="_4._sz._sor_részletezése" localSheetId="6">#REF!</definedName>
    <definedName name="_4._sz._sor_részletezése" localSheetId="7">#REF!</definedName>
    <definedName name="_4._sz._sor_részletezése" localSheetId="8">#REF!</definedName>
    <definedName name="_4._sz._sor_részletezése">#REF!</definedName>
    <definedName name="_xlnm.Print_Titles" localSheetId="0">'1.Onbe'!$6:$8</definedName>
    <definedName name="_xlnm.Print_Titles" localSheetId="10">'11.Létszám'!$6:$6</definedName>
    <definedName name="_xlnm.Print_Titles" localSheetId="11">'12.EU'!$6:$10</definedName>
    <definedName name="_xlnm.Print_Titles" localSheetId="13">'14.Alap'!$7:$7</definedName>
    <definedName name="_xlnm.Print_Titles" localSheetId="1">'2.Onki'!$6:$8</definedName>
    <definedName name="_xlnm.Print_Titles" localSheetId="2">'3.Inbe '!$6:$9</definedName>
    <definedName name="_xlnm.Print_Titles" localSheetId="3">'4.Inki'!$6:$9</definedName>
    <definedName name="_xlnm.Print_Titles" localSheetId="4">'5.Infelhki'!$6:$9</definedName>
    <definedName name="_xlnm.Print_Titles" localSheetId="5">'6.Önk.műk.'!$5:$8</definedName>
    <definedName name="_xlnm.Print_Titles" localSheetId="6">'7.Beruh.'!$5:$9</definedName>
    <definedName name="_xlnm.Print_Titles" localSheetId="7">'8.Felúj.'!$5:$9</definedName>
    <definedName name="_xlnm.Print_Titles" localSheetId="8">'9.Projekt'!$5:$9</definedName>
    <definedName name="_xlnm.Print_Area" localSheetId="0">'1.Onbe'!$A$1:$L$75</definedName>
    <definedName name="_xlnm.Print_Area" localSheetId="9">'10.Mérleg'!$A$1:$O$39</definedName>
    <definedName name="_xlnm.Print_Area" localSheetId="10">'11.Létszám'!$A$1:$H$90</definedName>
    <definedName name="_xlnm.Print_Area" localSheetId="11">'12.EU'!$A$1:$R$23</definedName>
    <definedName name="_xlnm.Print_Area" localSheetId="12">'13.Összefoglaló_ei_átcsop'!$A$1:$E$358</definedName>
    <definedName name="_xlnm.Print_Area" localSheetId="13">'14.Alap'!$A$1:$J$25</definedName>
    <definedName name="_xlnm.Print_Area" localSheetId="1">'2.Onki'!$A$1:$L$49</definedName>
    <definedName name="_xlnm.Print_Area" localSheetId="2">'3.Inbe '!$A$1:$R$170</definedName>
    <definedName name="_xlnm.Print_Area" localSheetId="3">'4.Inki'!$A$1:$R$248</definedName>
    <definedName name="_xlnm.Print_Area" localSheetId="6">'7.Beruh.'!$A$1:$M$554</definedName>
    <definedName name="_xlnm.Print_Area" localSheetId="7">'8.Felúj.'!$A$1:$L$113</definedName>
    <definedName name="_xlnm.Print_Area" localSheetId="8">'9.Projekt'!$A$1:$Q$175</definedName>
  </definedNames>
  <calcPr calcId="191029" iterateDelta="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354" i="188" l="1"/>
  <c r="E349" i="188"/>
  <c r="E350" i="188" s="1"/>
  <c r="E355" i="188" s="1"/>
  <c r="K24" i="115"/>
  <c r="I19" i="189"/>
  <c r="L329" i="105"/>
  <c r="J545" i="134"/>
  <c r="K545" i="134"/>
  <c r="I545" i="134"/>
  <c r="M140" i="182"/>
  <c r="K57" i="182" l="1"/>
  <c r="K48" i="182"/>
  <c r="K40" i="182"/>
  <c r="K32" i="182"/>
  <c r="E147" i="188" l="1"/>
  <c r="E180" i="188"/>
  <c r="I49" i="134"/>
  <c r="J49" i="134"/>
  <c r="I550" i="134" l="1"/>
  <c r="I540" i="134"/>
  <c r="E204" i="188"/>
  <c r="E162" i="188"/>
  <c r="E22" i="188"/>
  <c r="M138" i="144"/>
  <c r="K138" i="144"/>
  <c r="I170" i="144" l="1"/>
  <c r="L135" i="185"/>
  <c r="L238" i="182"/>
  <c r="M238" i="182"/>
  <c r="N238" i="182"/>
  <c r="O238" i="182"/>
  <c r="P238" i="182"/>
  <c r="Q238" i="182"/>
  <c r="R238" i="182"/>
  <c r="K238" i="182"/>
  <c r="K144" i="182"/>
  <c r="L140" i="182"/>
  <c r="P140" i="182"/>
  <c r="K140" i="182"/>
  <c r="L144" i="182"/>
  <c r="M144" i="182"/>
  <c r="N144" i="182"/>
  <c r="O144" i="182"/>
  <c r="P144" i="182"/>
  <c r="Q144" i="182"/>
  <c r="R144" i="182"/>
  <c r="J139" i="182"/>
  <c r="L802" i="105" l="1"/>
  <c r="K221" i="182"/>
  <c r="P133" i="182"/>
  <c r="K133" i="182"/>
  <c r="K117" i="182"/>
  <c r="K109" i="182"/>
  <c r="M102" i="182"/>
  <c r="P91" i="182"/>
  <c r="Q91" i="182"/>
  <c r="R91" i="182"/>
  <c r="K91" i="182"/>
  <c r="L91" i="182"/>
  <c r="M91" i="182"/>
  <c r="N91" i="182"/>
  <c r="O91" i="182"/>
  <c r="K69" i="182"/>
  <c r="L61" i="182"/>
  <c r="N61" i="182"/>
  <c r="O61" i="182"/>
  <c r="P61" i="182"/>
  <c r="Q61" i="182"/>
  <c r="R61" i="182"/>
  <c r="K61" i="182"/>
  <c r="K17" i="182"/>
  <c r="Q90" i="181"/>
  <c r="J90" i="181"/>
  <c r="R83" i="181"/>
  <c r="Q83" i="181"/>
  <c r="P83" i="181"/>
  <c r="J83" i="181"/>
  <c r="R76" i="181"/>
  <c r="Q76" i="181"/>
  <c r="P76" i="181"/>
  <c r="K76" i="181"/>
  <c r="J76" i="181"/>
  <c r="K65" i="181"/>
  <c r="L65" i="181"/>
  <c r="M65" i="181"/>
  <c r="N65" i="181"/>
  <c r="O65" i="181"/>
  <c r="P65" i="181"/>
  <c r="Q65" i="181"/>
  <c r="J65" i="181"/>
  <c r="Q35" i="181"/>
  <c r="J35" i="181"/>
  <c r="J25" i="181"/>
  <c r="J18" i="181"/>
  <c r="J52" i="181"/>
  <c r="J61" i="181"/>
  <c r="J94" i="181"/>
  <c r="Q105" i="181"/>
  <c r="J105" i="181"/>
  <c r="Q112" i="181"/>
  <c r="J121" i="181"/>
  <c r="Q138" i="181"/>
  <c r="J138" i="181"/>
  <c r="Q144" i="181"/>
  <c r="J144" i="181"/>
  <c r="E357" i="188"/>
  <c r="L49" i="113"/>
  <c r="E170" i="188"/>
  <c r="L221" i="182"/>
  <c r="M221" i="182"/>
  <c r="N221" i="182"/>
  <c r="O221" i="182"/>
  <c r="P221" i="182"/>
  <c r="Q221" i="182"/>
  <c r="R221" i="182"/>
  <c r="L211" i="182"/>
  <c r="K211" i="182"/>
  <c r="J210" i="182"/>
  <c r="Q164" i="181"/>
  <c r="I40" i="144"/>
  <c r="J40" i="144"/>
  <c r="K39" i="144"/>
  <c r="K148" i="181"/>
  <c r="L148" i="181"/>
  <c r="M148" i="181"/>
  <c r="N148" i="181"/>
  <c r="O148" i="181"/>
  <c r="P148" i="181"/>
  <c r="Q148" i="181"/>
  <c r="R148" i="181"/>
  <c r="J148" i="181"/>
  <c r="R105" i="181"/>
  <c r="P105" i="181"/>
  <c r="I104" i="181"/>
  <c r="J536" i="134"/>
  <c r="L536" i="134" s="1"/>
  <c r="E534" i="134" s="1"/>
  <c r="L535" i="134"/>
  <c r="L117" i="182"/>
  <c r="M117" i="182"/>
  <c r="O117" i="182"/>
  <c r="P117" i="182"/>
  <c r="L113" i="185"/>
  <c r="J116" i="182"/>
  <c r="L121" i="181"/>
  <c r="O121" i="181"/>
  <c r="P121" i="181"/>
  <c r="Q121" i="181"/>
  <c r="R121" i="181"/>
  <c r="I120" i="181"/>
  <c r="I797" i="105"/>
  <c r="J211" i="182" l="1"/>
  <c r="J50" i="134"/>
  <c r="J51" i="134" s="1"/>
  <c r="E278" i="188" l="1"/>
  <c r="E39" i="188"/>
  <c r="L134" i="185"/>
  <c r="J138" i="182"/>
  <c r="N144" i="181"/>
  <c r="K68" i="134" l="1"/>
  <c r="K550" i="134" s="1"/>
  <c r="J68" i="134"/>
  <c r="J148" i="134"/>
  <c r="L148" i="134" s="1"/>
  <c r="L147" i="134"/>
  <c r="J145" i="134"/>
  <c r="L145" i="134" s="1"/>
  <c r="L144" i="134"/>
  <c r="L109" i="182"/>
  <c r="M109" i="182"/>
  <c r="P109" i="182"/>
  <c r="J108" i="182"/>
  <c r="R112" i="181"/>
  <c r="P112" i="181"/>
  <c r="L112" i="181"/>
  <c r="J112" i="181"/>
  <c r="I111" i="181"/>
  <c r="E133" i="188"/>
  <c r="K540" i="134" l="1"/>
  <c r="L29" i="185"/>
  <c r="L30" i="185"/>
  <c r="L32" i="182"/>
  <c r="M32" i="182"/>
  <c r="P32" i="182"/>
  <c r="J31" i="182"/>
  <c r="J115" i="182" l="1"/>
  <c r="I119" i="181"/>
  <c r="K802" i="105"/>
  <c r="N802" i="105"/>
  <c r="J802" i="105"/>
  <c r="I796" i="105"/>
  <c r="I798" i="105"/>
  <c r="I799" i="105"/>
  <c r="I800" i="105"/>
  <c r="I801" i="105"/>
  <c r="K102" i="182"/>
  <c r="L102" i="182"/>
  <c r="P102" i="182"/>
  <c r="J98" i="182"/>
  <c r="J99" i="182"/>
  <c r="J100" i="182"/>
  <c r="J101" i="182"/>
  <c r="I101" i="181"/>
  <c r="I102" i="181"/>
  <c r="I103" i="181"/>
  <c r="E275" i="188" l="1"/>
  <c r="L128" i="185"/>
  <c r="L127" i="185"/>
  <c r="I136" i="181"/>
  <c r="K138" i="181"/>
  <c r="L138" i="181"/>
  <c r="M138" i="181"/>
  <c r="O138" i="181"/>
  <c r="P138" i="181"/>
  <c r="R138" i="181"/>
  <c r="I137" i="181"/>
  <c r="L785" i="105"/>
  <c r="E80" i="188"/>
  <c r="E16" i="188"/>
  <c r="J170" i="144" l="1"/>
  <c r="K170" i="144"/>
  <c r="L170" i="144"/>
  <c r="M170" i="144"/>
  <c r="N170" i="144"/>
  <c r="O170" i="144"/>
  <c r="M166" i="144"/>
  <c r="K166" i="144"/>
  <c r="P165" i="144"/>
  <c r="E30" i="188"/>
  <c r="K163" i="144"/>
  <c r="P163" i="144" s="1"/>
  <c r="E161" i="144" s="1"/>
  <c r="P162" i="144"/>
  <c r="E213" i="188"/>
  <c r="E64" i="188"/>
  <c r="M160" i="144"/>
  <c r="K160" i="144"/>
  <c r="P159" i="144"/>
  <c r="E172" i="188"/>
  <c r="K21" i="190"/>
  <c r="M21" i="190" s="1"/>
  <c r="R21" i="190"/>
  <c r="M157" i="144"/>
  <c r="K157" i="144"/>
  <c r="P156" i="144"/>
  <c r="P20" i="190"/>
  <c r="R20" i="190" s="1"/>
  <c r="M20" i="190"/>
  <c r="M154" i="144"/>
  <c r="K154" i="144"/>
  <c r="P153" i="144"/>
  <c r="P19" i="190"/>
  <c r="R19" i="190" s="1"/>
  <c r="M19" i="190"/>
  <c r="M151" i="144"/>
  <c r="K151" i="144"/>
  <c r="P150" i="144"/>
  <c r="M148" i="144"/>
  <c r="K148" i="144"/>
  <c r="P147" i="144"/>
  <c r="M145" i="144"/>
  <c r="K145" i="144"/>
  <c r="P144" i="144"/>
  <c r="P166" i="144" l="1"/>
  <c r="E164" i="144" s="1"/>
  <c r="P160" i="144"/>
  <c r="E158" i="144" s="1"/>
  <c r="P157" i="144"/>
  <c r="E155" i="144" s="1"/>
  <c r="G21" i="190"/>
  <c r="G20" i="190"/>
  <c r="P154" i="144"/>
  <c r="E152" i="144" s="1"/>
  <c r="G19" i="190"/>
  <c r="P151" i="144"/>
  <c r="E149" i="144" s="1"/>
  <c r="P148" i="144"/>
  <c r="E146" i="144" s="1"/>
  <c r="P145" i="144"/>
  <c r="E143" i="144" s="1"/>
  <c r="K17" i="190"/>
  <c r="M17" i="190" s="1"/>
  <c r="R17" i="190"/>
  <c r="R18" i="190"/>
  <c r="M18" i="190"/>
  <c r="G18" i="190" l="1"/>
  <c r="G17" i="190"/>
  <c r="M142" i="144" l="1"/>
  <c r="K142" i="144"/>
  <c r="P141" i="144"/>
  <c r="E32" i="188"/>
  <c r="M139" i="144"/>
  <c r="K139" i="144"/>
  <c r="P142" i="144" l="1"/>
  <c r="E140" i="144" s="1"/>
  <c r="P139" i="144"/>
  <c r="E137" i="144" s="1"/>
  <c r="P138" i="144"/>
  <c r="M136" i="144"/>
  <c r="K136" i="144"/>
  <c r="P136" i="144" l="1"/>
  <c r="E134" i="144" s="1"/>
  <c r="P135" i="144"/>
  <c r="P132" i="144"/>
  <c r="O133" i="144" l="1"/>
  <c r="K129" i="144" l="1"/>
  <c r="L125" i="144"/>
  <c r="O113" i="144" l="1"/>
  <c r="O169" i="144"/>
  <c r="O168" i="144"/>
  <c r="O171" i="144" l="1"/>
  <c r="E281" i="188"/>
  <c r="L208" i="182"/>
  <c r="K208" i="182"/>
  <c r="J207" i="182"/>
  <c r="J208" i="182" l="1"/>
  <c r="J532" i="134" l="1"/>
  <c r="L532" i="134" s="1"/>
  <c r="J530" i="134"/>
  <c r="L530" i="134" s="1"/>
  <c r="E528" i="134" s="1"/>
  <c r="L529" i="134"/>
  <c r="J527" i="134"/>
  <c r="L527" i="134" s="1"/>
  <c r="E525" i="134" s="1"/>
  <c r="L526" i="134"/>
  <c r="J524" i="134"/>
  <c r="L524" i="134" s="1"/>
  <c r="E522" i="134" s="1"/>
  <c r="L523" i="134"/>
  <c r="J521" i="134"/>
  <c r="L521" i="134" s="1"/>
  <c r="E519" i="134" s="1"/>
  <c r="L520" i="134"/>
  <c r="J230" i="134"/>
  <c r="J550" i="134" s="1"/>
  <c r="J540" i="134" l="1"/>
  <c r="J533" i="134"/>
  <c r="L533" i="134" s="1"/>
  <c r="E531" i="134" s="1"/>
  <c r="E273" i="188"/>
  <c r="L119" i="185"/>
  <c r="K127" i="181"/>
  <c r="E305" i="188"/>
  <c r="E340" i="188" s="1"/>
  <c r="E242" i="188"/>
  <c r="K35" i="185"/>
  <c r="M39" i="182"/>
  <c r="M61" i="182" s="1"/>
  <c r="L55" i="185"/>
  <c r="L56" i="185"/>
  <c r="L52" i="185"/>
  <c r="F32" i="187"/>
  <c r="G32" i="187" s="1"/>
  <c r="F37" i="187"/>
  <c r="L78" i="185"/>
  <c r="L65" i="185"/>
  <c r="E50" i="188"/>
  <c r="K94" i="181"/>
  <c r="L94" i="181"/>
  <c r="M94" i="181"/>
  <c r="N94" i="181"/>
  <c r="O94" i="181"/>
  <c r="P94" i="181"/>
  <c r="Q94" i="181"/>
  <c r="R94" i="181"/>
  <c r="I74" i="181"/>
  <c r="M913" i="105"/>
  <c r="L33" i="113" l="1"/>
  <c r="J518" i="134" l="1"/>
  <c r="L518" i="134" s="1"/>
  <c r="E516" i="134" s="1"/>
  <c r="L517" i="134"/>
  <c r="J156" i="134"/>
  <c r="L156" i="134" s="1"/>
  <c r="L155" i="134"/>
  <c r="N22" i="190" l="1"/>
  <c r="I22" i="190"/>
  <c r="H22" i="190"/>
  <c r="P16" i="190"/>
  <c r="O16" i="190"/>
  <c r="M16" i="190"/>
  <c r="Q15" i="190"/>
  <c r="Q22" i="190" s="1"/>
  <c r="P15" i="190"/>
  <c r="O15" i="190"/>
  <c r="O22" i="190" s="1"/>
  <c r="L15" i="190"/>
  <c r="L22" i="190" s="1"/>
  <c r="K15" i="190"/>
  <c r="J15" i="190"/>
  <c r="J22" i="190" s="1"/>
  <c r="R14" i="190"/>
  <c r="M14" i="190"/>
  <c r="G14" i="190" s="1"/>
  <c r="R13" i="190"/>
  <c r="M13" i="190"/>
  <c r="R12" i="190"/>
  <c r="M12" i="190"/>
  <c r="R16" i="190" l="1"/>
  <c r="G16" i="190" s="1"/>
  <c r="R15" i="190"/>
  <c r="R22" i="190" s="1"/>
  <c r="P22" i="190"/>
  <c r="G13" i="190"/>
  <c r="M15" i="190"/>
  <c r="K22" i="190"/>
  <c r="G12" i="190"/>
  <c r="G15" i="190" l="1"/>
  <c r="G22" i="190"/>
  <c r="M22" i="190"/>
  <c r="L95" i="185"/>
  <c r="L40" i="182"/>
  <c r="M40" i="182"/>
  <c r="P40" i="182"/>
  <c r="J39" i="182"/>
  <c r="E270" i="188" l="1"/>
  <c r="L112" i="185" l="1"/>
  <c r="J114" i="182"/>
  <c r="I117" i="181"/>
  <c r="I118" i="181"/>
  <c r="J30" i="182"/>
  <c r="K12" i="185"/>
  <c r="L17" i="182" l="1"/>
  <c r="M17" i="182"/>
  <c r="P17" i="182"/>
  <c r="J16" i="182"/>
  <c r="K90" i="181" l="1"/>
  <c r="E72" i="188" l="1"/>
  <c r="E85" i="188"/>
  <c r="J1014" i="105"/>
  <c r="E277" i="188"/>
  <c r="L44" i="185" l="1"/>
  <c r="I75" i="144" l="1"/>
  <c r="J75" i="144"/>
  <c r="E143" i="188"/>
  <c r="E148" i="188"/>
  <c r="J515" i="134" l="1"/>
  <c r="L515" i="134" s="1"/>
  <c r="E513" i="134" s="1"/>
  <c r="L514" i="134"/>
  <c r="K29" i="115"/>
  <c r="P61" i="181" l="1"/>
  <c r="P52" i="181"/>
  <c r="Q43" i="181"/>
  <c r="R43" i="181"/>
  <c r="P43" i="181"/>
  <c r="J43" i="181"/>
  <c r="R35" i="181"/>
  <c r="P35" i="181"/>
  <c r="R25" i="181"/>
  <c r="P25" i="181"/>
  <c r="I58" i="181"/>
  <c r="I49" i="181"/>
  <c r="I50" i="181"/>
  <c r="I41" i="181"/>
  <c r="I42" i="181"/>
  <c r="I32" i="181"/>
  <c r="I24" i="181"/>
  <c r="I17" i="181"/>
  <c r="I31" i="181"/>
  <c r="I33" i="181"/>
  <c r="I34" i="181"/>
  <c r="I15" i="181"/>
  <c r="I16" i="181"/>
  <c r="R18" i="181"/>
  <c r="Q18" i="181"/>
  <c r="P18" i="181"/>
  <c r="R57" i="181"/>
  <c r="R65" i="181" s="1"/>
  <c r="O232" i="182" l="1"/>
  <c r="O90" i="182"/>
  <c r="L232" i="182"/>
  <c r="M232" i="182"/>
  <c r="N232" i="182"/>
  <c r="P232" i="182"/>
  <c r="Q232" i="182"/>
  <c r="R232" i="182"/>
  <c r="K232" i="182"/>
  <c r="I25" i="189"/>
  <c r="H25" i="189"/>
  <c r="G25" i="189"/>
  <c r="J24" i="189"/>
  <c r="J23" i="189"/>
  <c r="J22" i="189"/>
  <c r="J20" i="189"/>
  <c r="J19" i="189"/>
  <c r="J17" i="189"/>
  <c r="I14" i="189"/>
  <c r="H14" i="189"/>
  <c r="G14" i="189"/>
  <c r="J13" i="189"/>
  <c r="J11" i="189"/>
  <c r="J10" i="189"/>
  <c r="J14" i="189" l="1"/>
  <c r="O92" i="182"/>
  <c r="J91" i="182"/>
  <c r="J25" i="189"/>
  <c r="J544" i="134" l="1"/>
  <c r="M133" i="144" l="1"/>
  <c r="P133" i="144" s="1"/>
  <c r="E130" i="144" s="1"/>
  <c r="M129" i="144"/>
  <c r="M125" i="144"/>
  <c r="M121" i="144"/>
  <c r="M117" i="144"/>
  <c r="M113" i="144"/>
  <c r="K109" i="144"/>
  <c r="J504" i="134"/>
  <c r="J494" i="134"/>
  <c r="J490" i="134"/>
  <c r="J486" i="134"/>
  <c r="J482" i="134"/>
  <c r="J478" i="134"/>
  <c r="J1015" i="105"/>
  <c r="K1015" i="105"/>
  <c r="L1011" i="105"/>
  <c r="N1007" i="105"/>
  <c r="N1003" i="105"/>
  <c r="J95" i="147"/>
  <c r="J508" i="134"/>
  <c r="K512" i="134"/>
  <c r="J499" i="134"/>
  <c r="I544" i="134"/>
  <c r="I169" i="144" l="1"/>
  <c r="J169" i="144"/>
  <c r="K169" i="144"/>
  <c r="L169" i="144"/>
  <c r="M169" i="144"/>
  <c r="N169" i="144"/>
  <c r="P131" i="144"/>
  <c r="P127" i="144"/>
  <c r="P123" i="144"/>
  <c r="P119" i="144"/>
  <c r="P115" i="144"/>
  <c r="P111" i="144"/>
  <c r="P107" i="144"/>
  <c r="J98" i="147"/>
  <c r="I98" i="147"/>
  <c r="J103" i="147"/>
  <c r="I103" i="147"/>
  <c r="K93" i="147"/>
  <c r="I539" i="134"/>
  <c r="I549" i="134"/>
  <c r="L510" i="134"/>
  <c r="K544" i="134"/>
  <c r="L506" i="134"/>
  <c r="L502" i="134"/>
  <c r="L497" i="134"/>
  <c r="L492" i="134"/>
  <c r="L488" i="134"/>
  <c r="L484" i="134"/>
  <c r="L480" i="134"/>
  <c r="L476" i="134"/>
  <c r="I997" i="105"/>
  <c r="I1013" i="105"/>
  <c r="K1023" i="105"/>
  <c r="M1023" i="105"/>
  <c r="J1023" i="105"/>
  <c r="I1009" i="105"/>
  <c r="I1005" i="105"/>
  <c r="I1001" i="105"/>
  <c r="K127" i="105"/>
  <c r="L127" i="105"/>
  <c r="M127" i="105"/>
  <c r="N127" i="105"/>
  <c r="J127" i="105"/>
  <c r="I165" i="105"/>
  <c r="P172" i="182"/>
  <c r="M172" i="182"/>
  <c r="L220" i="182"/>
  <c r="M220" i="182"/>
  <c r="N220" i="182"/>
  <c r="O220" i="182"/>
  <c r="P220" i="182"/>
  <c r="Q220" i="182"/>
  <c r="R220" i="182"/>
  <c r="K220" i="182"/>
  <c r="L205" i="182"/>
  <c r="K205" i="182"/>
  <c r="J203" i="182"/>
  <c r="L12" i="113"/>
  <c r="G81" i="187"/>
  <c r="G84" i="187" s="1"/>
  <c r="G80" i="187"/>
  <c r="G78" i="187"/>
  <c r="G76" i="187"/>
  <c r="G75" i="187"/>
  <c r="G73" i="187"/>
  <c r="G71" i="187"/>
  <c r="G70" i="187"/>
  <c r="G68" i="187"/>
  <c r="G67" i="187"/>
  <c r="G65" i="187"/>
  <c r="G64" i="187"/>
  <c r="G62" i="187"/>
  <c r="G61" i="187"/>
  <c r="G59" i="187"/>
  <c r="G58" i="187"/>
  <c r="G56" i="187"/>
  <c r="G55" i="187"/>
  <c r="G53" i="187"/>
  <c r="G52" i="187"/>
  <c r="G50" i="187"/>
  <c r="G49" i="187"/>
  <c r="G48" i="187"/>
  <c r="G46" i="187"/>
  <c r="G45" i="187"/>
  <c r="G44" i="187"/>
  <c r="G42" i="187"/>
  <c r="G41" i="187"/>
  <c r="G40" i="187"/>
  <c r="G39" i="187"/>
  <c r="G37" i="187"/>
  <c r="G36" i="187"/>
  <c r="G35" i="187"/>
  <c r="G34" i="187"/>
  <c r="G30" i="187"/>
  <c r="G31" i="187"/>
  <c r="G29" i="187"/>
  <c r="G27" i="187"/>
  <c r="G26" i="187"/>
  <c r="G25" i="187"/>
  <c r="G24" i="187"/>
  <c r="G22" i="187"/>
  <c r="G20" i="187"/>
  <c r="G21" i="187"/>
  <c r="G19" i="187"/>
  <c r="G17" i="187"/>
  <c r="G15" i="187"/>
  <c r="G16" i="187"/>
  <c r="G14" i="187"/>
  <c r="G12" i="187"/>
  <c r="G10" i="187"/>
  <c r="G11" i="187"/>
  <c r="G9" i="187"/>
  <c r="G7" i="187"/>
  <c r="E90" i="187"/>
  <c r="E89" i="187"/>
  <c r="E88" i="187"/>
  <c r="E87" i="187"/>
  <c r="E86" i="187"/>
  <c r="E85" i="187"/>
  <c r="E84" i="187"/>
  <c r="E72" i="187"/>
  <c r="E82" i="187" s="1"/>
  <c r="L494" i="134"/>
  <c r="E491" i="134" s="1"/>
  <c r="L493" i="134"/>
  <c r="G72" i="187" l="1"/>
  <c r="G82" i="187" s="1"/>
  <c r="L544" i="134"/>
  <c r="I127" i="105"/>
  <c r="M82" i="182"/>
  <c r="K82" i="182"/>
  <c r="I51" i="134" l="1"/>
  <c r="L50" i="134"/>
  <c r="L51" i="134" l="1"/>
  <c r="E221" i="188"/>
  <c r="E196" i="188"/>
  <c r="E197" i="188" s="1"/>
  <c r="L508" i="134"/>
  <c r="E505" i="134" s="1"/>
  <c r="L507" i="134"/>
  <c r="L504" i="134"/>
  <c r="E501" i="134" s="1"/>
  <c r="L499" i="134"/>
  <c r="E496" i="134" s="1"/>
  <c r="L503" i="134"/>
  <c r="L498" i="134"/>
  <c r="E214" i="188" l="1"/>
  <c r="E222" i="188" s="1"/>
  <c r="N114" i="105"/>
  <c r="L13" i="115" l="1"/>
  <c r="L156" i="185"/>
  <c r="Q82" i="182"/>
  <c r="L82" i="182"/>
  <c r="P82" i="182"/>
  <c r="L57" i="182" l="1"/>
  <c r="M57" i="182"/>
  <c r="P57" i="182"/>
  <c r="J56" i="182"/>
  <c r="Q61" i="181"/>
  <c r="R61" i="181"/>
  <c r="I60" i="181"/>
  <c r="K319" i="105" l="1"/>
  <c r="L319" i="105"/>
  <c r="M319" i="105"/>
  <c r="N319" i="105"/>
  <c r="J319" i="105"/>
  <c r="J321" i="105"/>
  <c r="P222" i="182"/>
  <c r="P129" i="144"/>
  <c r="E126" i="144" s="1"/>
  <c r="P128" i="144"/>
  <c r="P125" i="144"/>
  <c r="E122" i="144" s="1"/>
  <c r="P124" i="144"/>
  <c r="P121" i="144"/>
  <c r="E118" i="144" s="1"/>
  <c r="P120" i="144"/>
  <c r="P117" i="144"/>
  <c r="E114" i="144" s="1"/>
  <c r="P116" i="144"/>
  <c r="P112" i="144"/>
  <c r="P113" i="144" l="1"/>
  <c r="E110" i="144" s="1"/>
  <c r="J27" i="115"/>
  <c r="I27" i="115"/>
  <c r="M19" i="105" l="1"/>
  <c r="N19" i="105"/>
  <c r="L19" i="105"/>
  <c r="P109" i="144"/>
  <c r="E106" i="144" s="1"/>
  <c r="P108" i="144"/>
  <c r="K27" i="115"/>
  <c r="K1024" i="105"/>
  <c r="L1024" i="105"/>
  <c r="M1024" i="105"/>
  <c r="J1024" i="105"/>
  <c r="I1014" i="105" l="1"/>
  <c r="I1010" i="105"/>
  <c r="I1007" i="105"/>
  <c r="I1006" i="105"/>
  <c r="L512" i="134"/>
  <c r="E509" i="134" s="1"/>
  <c r="L511" i="134"/>
  <c r="I1002" i="105"/>
  <c r="M128" i="105"/>
  <c r="N128" i="105"/>
  <c r="K128" i="105"/>
  <c r="L128" i="105"/>
  <c r="J128" i="105"/>
  <c r="L167" i="105"/>
  <c r="I167" i="105" s="1"/>
  <c r="I166" i="105"/>
  <c r="L490" i="134"/>
  <c r="E487" i="134" s="1"/>
  <c r="L489" i="134"/>
  <c r="L486" i="134"/>
  <c r="E483" i="134" s="1"/>
  <c r="L485" i="134"/>
  <c r="E17" i="188"/>
  <c r="E73" i="188" s="1"/>
  <c r="I1015" i="105" l="1"/>
  <c r="I1011" i="105"/>
  <c r="I1003" i="105"/>
  <c r="E283" i="188"/>
  <c r="E341" i="188" s="1"/>
  <c r="M75" i="182"/>
  <c r="M23" i="182"/>
  <c r="Q25" i="181"/>
  <c r="M48" i="182"/>
  <c r="Q52" i="181"/>
  <c r="J55" i="182"/>
  <c r="I59" i="181"/>
  <c r="J38" i="182"/>
  <c r="P48" i="182"/>
  <c r="L48" i="182"/>
  <c r="J47" i="182"/>
  <c r="L32" i="113"/>
  <c r="K163" i="105" l="1"/>
  <c r="L163" i="105"/>
  <c r="J163" i="105"/>
  <c r="L77" i="185" l="1"/>
  <c r="L54" i="185" l="1"/>
  <c r="L27" i="185" l="1"/>
  <c r="L481" i="134" l="1"/>
  <c r="L482" i="134"/>
  <c r="E479" i="134" s="1"/>
  <c r="L46" i="185" l="1"/>
  <c r="L48" i="185"/>
  <c r="L41" i="185"/>
  <c r="L43" i="185"/>
  <c r="I109" i="147" l="1"/>
  <c r="J109" i="147"/>
  <c r="J108" i="147"/>
  <c r="K95" i="147"/>
  <c r="E92" i="147" s="1"/>
  <c r="I108" i="147"/>
  <c r="J104" i="147"/>
  <c r="I104" i="147"/>
  <c r="J99" i="147"/>
  <c r="K37" i="115" s="1"/>
  <c r="I99" i="147"/>
  <c r="K94" i="147"/>
  <c r="J204" i="182" l="1"/>
  <c r="I65" i="144"/>
  <c r="J65" i="144"/>
  <c r="J205" i="182" l="1"/>
  <c r="Q37" i="144"/>
  <c r="L478" i="134"/>
  <c r="E475" i="134" s="1"/>
  <c r="L477" i="134"/>
  <c r="L47" i="115" l="1"/>
  <c r="L45" i="115"/>
  <c r="J42" i="115"/>
  <c r="J38" i="115"/>
  <c r="J34" i="115"/>
  <c r="L33" i="115"/>
  <c r="L30" i="115"/>
  <c r="L31" i="115"/>
  <c r="L32" i="115"/>
  <c r="L29" i="115"/>
  <c r="L20" i="115"/>
  <c r="L21" i="115"/>
  <c r="L22" i="115"/>
  <c r="L23" i="115"/>
  <c r="L24" i="115"/>
  <c r="L25" i="115"/>
  <c r="L26" i="115"/>
  <c r="L19" i="115"/>
  <c r="J18" i="115"/>
  <c r="J17" i="115" s="1"/>
  <c r="J11" i="115"/>
  <c r="J9" i="115" s="1"/>
  <c r="L237" i="182"/>
  <c r="M237" i="182"/>
  <c r="N237" i="182"/>
  <c r="O237" i="182"/>
  <c r="P237" i="182"/>
  <c r="Q237" i="182"/>
  <c r="R237" i="182"/>
  <c r="K237" i="182"/>
  <c r="L243" i="182"/>
  <c r="M243" i="182"/>
  <c r="N243" i="182"/>
  <c r="O243" i="182"/>
  <c r="P243" i="182"/>
  <c r="Q243" i="182"/>
  <c r="R243" i="182"/>
  <c r="K243" i="182"/>
  <c r="L201" i="182"/>
  <c r="K201" i="182"/>
  <c r="J199" i="182"/>
  <c r="L197" i="182"/>
  <c r="K197" i="182"/>
  <c r="J195" i="182"/>
  <c r="L192" i="182"/>
  <c r="K192" i="182"/>
  <c r="J190" i="182"/>
  <c r="L187" i="182"/>
  <c r="M187" i="182"/>
  <c r="K187" i="182"/>
  <c r="J185" i="182"/>
  <c r="L182" i="182"/>
  <c r="K182" i="182"/>
  <c r="J180" i="182"/>
  <c r="L177" i="182"/>
  <c r="K177" i="182"/>
  <c r="J175" i="182"/>
  <c r="J170" i="182"/>
  <c r="L167" i="182"/>
  <c r="M167" i="182"/>
  <c r="P167" i="182"/>
  <c r="K167" i="182"/>
  <c r="J165" i="182"/>
  <c r="L161" i="182"/>
  <c r="M161" i="182"/>
  <c r="K161" i="182"/>
  <c r="J159" i="182"/>
  <c r="L150" i="182"/>
  <c r="M150" i="182"/>
  <c r="P150" i="182"/>
  <c r="K150" i="182"/>
  <c r="J148" i="182"/>
  <c r="L143" i="182"/>
  <c r="M143" i="182"/>
  <c r="N143" i="182"/>
  <c r="O143" i="182"/>
  <c r="P143" i="182"/>
  <c r="Q143" i="182"/>
  <c r="R143" i="182"/>
  <c r="K143" i="182"/>
  <c r="J136" i="182"/>
  <c r="L133" i="182"/>
  <c r="M133" i="182"/>
  <c r="J129" i="182"/>
  <c r="L123" i="182"/>
  <c r="M123" i="182"/>
  <c r="P123" i="182"/>
  <c r="K123" i="182"/>
  <c r="J121" i="182"/>
  <c r="J112" i="182"/>
  <c r="J106" i="182"/>
  <c r="J95" i="182"/>
  <c r="L90" i="182"/>
  <c r="M90" i="182"/>
  <c r="N90" i="182"/>
  <c r="P90" i="182"/>
  <c r="Q90" i="182"/>
  <c r="R90" i="182"/>
  <c r="K90" i="182"/>
  <c r="M87" i="182"/>
  <c r="J85" i="182"/>
  <c r="J78" i="182"/>
  <c r="L75" i="182"/>
  <c r="P75" i="182"/>
  <c r="K75" i="182"/>
  <c r="J72" i="182"/>
  <c r="L69" i="182"/>
  <c r="M69" i="182"/>
  <c r="P69" i="182"/>
  <c r="J65" i="182"/>
  <c r="L60" i="182"/>
  <c r="M60" i="182"/>
  <c r="N60" i="182"/>
  <c r="O60" i="182"/>
  <c r="O231" i="182" s="1"/>
  <c r="P60" i="182"/>
  <c r="Q60" i="182"/>
  <c r="R60" i="182"/>
  <c r="K60" i="182"/>
  <c r="J52" i="182"/>
  <c r="J44" i="182"/>
  <c r="J36" i="182"/>
  <c r="J27" i="182"/>
  <c r="L23" i="182"/>
  <c r="P23" i="182"/>
  <c r="K23" i="182"/>
  <c r="J21" i="182"/>
  <c r="J13" i="182"/>
  <c r="L27" i="115" l="1"/>
  <c r="K231" i="182"/>
  <c r="K62" i="182"/>
  <c r="Q231" i="182"/>
  <c r="M231" i="182"/>
  <c r="J243" i="182"/>
  <c r="J15" i="115"/>
  <c r="J41" i="115" s="1"/>
  <c r="J49" i="115" s="1"/>
  <c r="J237" i="182"/>
  <c r="R231" i="182"/>
  <c r="N231" i="182"/>
  <c r="J220" i="182"/>
  <c r="P231" i="182"/>
  <c r="L231" i="182"/>
  <c r="Q153" i="182"/>
  <c r="Q225" i="182" s="1"/>
  <c r="M153" i="182"/>
  <c r="M225" i="182" s="1"/>
  <c r="K153" i="182"/>
  <c r="K225" i="182" s="1"/>
  <c r="O153" i="182"/>
  <c r="O225" i="182" s="1"/>
  <c r="R153" i="182"/>
  <c r="R225" i="182" s="1"/>
  <c r="N153" i="182"/>
  <c r="N225" i="182" s="1"/>
  <c r="P153" i="182"/>
  <c r="P225" i="182" s="1"/>
  <c r="L153" i="182"/>
  <c r="L225" i="182" s="1"/>
  <c r="J143" i="182"/>
  <c r="J90" i="182"/>
  <c r="J60" i="182"/>
  <c r="K165" i="181"/>
  <c r="P165" i="181"/>
  <c r="Q165" i="181"/>
  <c r="R165" i="181"/>
  <c r="J165" i="181"/>
  <c r="I162" i="181"/>
  <c r="P154" i="181"/>
  <c r="Q154" i="181"/>
  <c r="R154" i="181"/>
  <c r="J154" i="181"/>
  <c r="I152" i="181"/>
  <c r="K147" i="181"/>
  <c r="L147" i="181"/>
  <c r="M147" i="181"/>
  <c r="N147" i="181"/>
  <c r="O147" i="181"/>
  <c r="P147" i="181"/>
  <c r="Q147" i="181"/>
  <c r="R147" i="181"/>
  <c r="J147" i="181"/>
  <c r="K144" i="181"/>
  <c r="P144" i="181"/>
  <c r="R144" i="181"/>
  <c r="I141" i="181"/>
  <c r="I133" i="181"/>
  <c r="Q127" i="181"/>
  <c r="R127" i="181"/>
  <c r="P127" i="181"/>
  <c r="J127" i="181"/>
  <c r="I125" i="181"/>
  <c r="I115" i="181"/>
  <c r="I109" i="181"/>
  <c r="I98" i="181"/>
  <c r="K93" i="181"/>
  <c r="L93" i="181"/>
  <c r="M93" i="181"/>
  <c r="N93" i="181"/>
  <c r="O93" i="181"/>
  <c r="P93" i="181"/>
  <c r="Q93" i="181"/>
  <c r="R93" i="181"/>
  <c r="J93" i="181"/>
  <c r="R90" i="181"/>
  <c r="P90" i="181"/>
  <c r="I86" i="181"/>
  <c r="I79" i="181"/>
  <c r="I69" i="181"/>
  <c r="K64" i="181"/>
  <c r="L64" i="181"/>
  <c r="M64" i="181"/>
  <c r="N64" i="181"/>
  <c r="O64" i="181"/>
  <c r="P64" i="181"/>
  <c r="Q64" i="181"/>
  <c r="R64" i="181"/>
  <c r="J64" i="181"/>
  <c r="I56" i="181"/>
  <c r="R52" i="181"/>
  <c r="I47" i="181"/>
  <c r="I39" i="181"/>
  <c r="I29" i="181"/>
  <c r="I22" i="181"/>
  <c r="I13" i="181"/>
  <c r="L999" i="105"/>
  <c r="N995" i="105"/>
  <c r="I993" i="105"/>
  <c r="L991" i="105"/>
  <c r="I989" i="105"/>
  <c r="N987" i="105"/>
  <c r="I985" i="105"/>
  <c r="N982" i="105"/>
  <c r="I980" i="105"/>
  <c r="L977" i="105"/>
  <c r="I975" i="105"/>
  <c r="L972" i="105"/>
  <c r="I970" i="105"/>
  <c r="L967" i="105"/>
  <c r="I965" i="105"/>
  <c r="K962" i="105"/>
  <c r="L962" i="105"/>
  <c r="N962" i="105"/>
  <c r="J962" i="105"/>
  <c r="I960" i="105"/>
  <c r="L957" i="105"/>
  <c r="I955" i="105"/>
  <c r="L952" i="105"/>
  <c r="I950" i="105"/>
  <c r="N947" i="105"/>
  <c r="I945" i="105"/>
  <c r="L942" i="105"/>
  <c r="I940" i="105"/>
  <c r="L937" i="105"/>
  <c r="I935" i="105"/>
  <c r="L932" i="105"/>
  <c r="I930" i="105"/>
  <c r="L926" i="105"/>
  <c r="I924" i="105"/>
  <c r="N919" i="105"/>
  <c r="I917" i="105"/>
  <c r="M914" i="105"/>
  <c r="I912" i="105"/>
  <c r="L910" i="105"/>
  <c r="I908" i="105"/>
  <c r="N905" i="105"/>
  <c r="I903" i="105"/>
  <c r="L899" i="105"/>
  <c r="I897" i="105"/>
  <c r="N893" i="105"/>
  <c r="I891" i="105"/>
  <c r="N885" i="105"/>
  <c r="I883" i="105"/>
  <c r="N878" i="105"/>
  <c r="I876" i="105"/>
  <c r="N874" i="105"/>
  <c r="I872" i="105"/>
  <c r="L869" i="105"/>
  <c r="I867" i="105"/>
  <c r="N861" i="105"/>
  <c r="I859" i="105"/>
  <c r="N855" i="105"/>
  <c r="I853" i="105"/>
  <c r="L851" i="105"/>
  <c r="I849" i="105"/>
  <c r="L846" i="105"/>
  <c r="I844" i="105"/>
  <c r="L841" i="105"/>
  <c r="I839" i="105"/>
  <c r="N836" i="105"/>
  <c r="I834" i="105"/>
  <c r="N831" i="105"/>
  <c r="I829" i="105"/>
  <c r="N825" i="105"/>
  <c r="I823" i="105"/>
  <c r="N819" i="105"/>
  <c r="I817" i="105"/>
  <c r="L813" i="105"/>
  <c r="I811" i="105"/>
  <c r="L808" i="105"/>
  <c r="I806" i="105"/>
  <c r="I794" i="105"/>
  <c r="N791" i="105"/>
  <c r="I789" i="105"/>
  <c r="L786" i="105"/>
  <c r="I784" i="105"/>
  <c r="L781" i="105"/>
  <c r="I779" i="105"/>
  <c r="L776" i="105"/>
  <c r="I774" i="105"/>
  <c r="L770" i="105"/>
  <c r="I768" i="105"/>
  <c r="L765" i="105"/>
  <c r="I763" i="105"/>
  <c r="L760" i="105"/>
  <c r="I758" i="105"/>
  <c r="N728" i="105"/>
  <c r="N755" i="105"/>
  <c r="I753" i="105"/>
  <c r="N750" i="105"/>
  <c r="I748" i="105"/>
  <c r="N745" i="105"/>
  <c r="I743" i="105"/>
  <c r="N740" i="105"/>
  <c r="I738" i="105"/>
  <c r="N735" i="105"/>
  <c r="I733" i="105"/>
  <c r="L725" i="105"/>
  <c r="I723" i="105"/>
  <c r="L720" i="105"/>
  <c r="I718" i="105"/>
  <c r="L715" i="105"/>
  <c r="I713" i="105"/>
  <c r="L710" i="105"/>
  <c r="I708" i="105"/>
  <c r="L705" i="105"/>
  <c r="I703" i="105"/>
  <c r="L700" i="105"/>
  <c r="I698" i="105"/>
  <c r="L695" i="105"/>
  <c r="I693" i="105"/>
  <c r="L690" i="105"/>
  <c r="I688" i="105"/>
  <c r="L685" i="105"/>
  <c r="I683" i="105"/>
  <c r="L680" i="105"/>
  <c r="I678" i="105"/>
  <c r="L675" i="105"/>
  <c r="I673" i="105"/>
  <c r="L670" i="105"/>
  <c r="I668" i="105"/>
  <c r="L665" i="105"/>
  <c r="I663" i="105"/>
  <c r="L660" i="105"/>
  <c r="I658" i="105"/>
  <c r="L655" i="105"/>
  <c r="I653" i="105"/>
  <c r="L649" i="105"/>
  <c r="I647" i="105"/>
  <c r="N644" i="105"/>
  <c r="I642" i="105"/>
  <c r="N639" i="105"/>
  <c r="I637" i="105"/>
  <c r="N633" i="105"/>
  <c r="I631" i="105"/>
  <c r="N628" i="105"/>
  <c r="I626" i="105"/>
  <c r="N623" i="105"/>
  <c r="I621" i="105"/>
  <c r="N618" i="105"/>
  <c r="I616" i="105"/>
  <c r="N613" i="105"/>
  <c r="I611" i="105"/>
  <c r="L607" i="105"/>
  <c r="I605" i="105"/>
  <c r="N602" i="105"/>
  <c r="I600" i="105"/>
  <c r="N597" i="105"/>
  <c r="I595" i="105"/>
  <c r="N592" i="105"/>
  <c r="I590" i="105"/>
  <c r="L586" i="105"/>
  <c r="I584" i="105"/>
  <c r="L581" i="105"/>
  <c r="L576" i="105"/>
  <c r="I574" i="105"/>
  <c r="L571" i="105"/>
  <c r="I569" i="105"/>
  <c r="K566" i="105"/>
  <c r="L566" i="105"/>
  <c r="J566" i="105"/>
  <c r="I564" i="105"/>
  <c r="N561" i="105"/>
  <c r="I559" i="105"/>
  <c r="L555" i="105"/>
  <c r="I553" i="105"/>
  <c r="N550" i="105"/>
  <c r="I548" i="105"/>
  <c r="L545" i="105"/>
  <c r="I543" i="105"/>
  <c r="L540" i="105"/>
  <c r="I538" i="105"/>
  <c r="L535" i="105"/>
  <c r="I533" i="105"/>
  <c r="N531" i="105"/>
  <c r="I529" i="105"/>
  <c r="N526" i="105"/>
  <c r="I524" i="105"/>
  <c r="N521" i="105"/>
  <c r="I519" i="105"/>
  <c r="N516" i="105"/>
  <c r="I514" i="105"/>
  <c r="L511" i="105"/>
  <c r="I509" i="105"/>
  <c r="L506" i="105"/>
  <c r="I504" i="105"/>
  <c r="N501" i="105"/>
  <c r="L501" i="105"/>
  <c r="I499" i="105"/>
  <c r="L496" i="105"/>
  <c r="I494" i="105"/>
  <c r="K491" i="105"/>
  <c r="L491" i="105"/>
  <c r="J491" i="105"/>
  <c r="I489" i="105"/>
  <c r="L486" i="105"/>
  <c r="I484" i="105"/>
  <c r="L481" i="105"/>
  <c r="I479" i="105"/>
  <c r="N476" i="105"/>
  <c r="I474" i="105"/>
  <c r="L471" i="105"/>
  <c r="I469" i="105"/>
  <c r="L465" i="105"/>
  <c r="I463" i="105"/>
  <c r="L459" i="105"/>
  <c r="I457" i="105"/>
  <c r="N453" i="105"/>
  <c r="I450" i="105"/>
  <c r="N447" i="105"/>
  <c r="I445" i="105"/>
  <c r="N442" i="105"/>
  <c r="I440" i="105"/>
  <c r="M437" i="105"/>
  <c r="I435" i="105"/>
  <c r="K432" i="105"/>
  <c r="J432" i="105"/>
  <c r="I430" i="105"/>
  <c r="K427" i="105"/>
  <c r="J427" i="105"/>
  <c r="I425" i="105"/>
  <c r="M422" i="105"/>
  <c r="I420" i="105"/>
  <c r="K368" i="105"/>
  <c r="L368" i="105"/>
  <c r="M368" i="105"/>
  <c r="N368" i="105"/>
  <c r="J368" i="105"/>
  <c r="M416" i="105"/>
  <c r="I414" i="105"/>
  <c r="M411" i="105"/>
  <c r="I409" i="105"/>
  <c r="M406" i="105"/>
  <c r="I404" i="105"/>
  <c r="M401" i="105"/>
  <c r="I399" i="105"/>
  <c r="M396" i="105"/>
  <c r="I394" i="105"/>
  <c r="M391" i="105"/>
  <c r="I389" i="105"/>
  <c r="M386" i="105"/>
  <c r="I384" i="105"/>
  <c r="M381" i="105"/>
  <c r="I379" i="105"/>
  <c r="M375" i="105"/>
  <c r="I373" i="105"/>
  <c r="M365" i="105"/>
  <c r="I363" i="105"/>
  <c r="M360" i="105"/>
  <c r="I358" i="105"/>
  <c r="N355" i="105"/>
  <c r="I353" i="105"/>
  <c r="K320" i="105"/>
  <c r="L320" i="105"/>
  <c r="M320" i="105"/>
  <c r="N320" i="105"/>
  <c r="J320" i="105"/>
  <c r="N350" i="105"/>
  <c r="I348" i="105"/>
  <c r="N345" i="105"/>
  <c r="I343" i="105"/>
  <c r="K339" i="105"/>
  <c r="L339" i="105"/>
  <c r="N339" i="105"/>
  <c r="J339" i="105"/>
  <c r="I337" i="105"/>
  <c r="N334" i="105"/>
  <c r="L334" i="105"/>
  <c r="I332" i="105"/>
  <c r="N329" i="105"/>
  <c r="I327" i="105"/>
  <c r="K290" i="105"/>
  <c r="L290" i="105"/>
  <c r="M290" i="105"/>
  <c r="N290" i="105"/>
  <c r="J290" i="105"/>
  <c r="N317" i="105"/>
  <c r="I315" i="105"/>
  <c r="N312" i="105"/>
  <c r="I310" i="105"/>
  <c r="N307" i="105"/>
  <c r="I305" i="105"/>
  <c r="N302" i="105"/>
  <c r="I300" i="105"/>
  <c r="N297" i="105"/>
  <c r="I295" i="105"/>
  <c r="J289" i="105"/>
  <c r="K287" i="105"/>
  <c r="L287" i="105"/>
  <c r="N287" i="105"/>
  <c r="J287" i="105"/>
  <c r="I285" i="105"/>
  <c r="L282" i="105"/>
  <c r="I280" i="105"/>
  <c r="L277" i="105"/>
  <c r="I275" i="105"/>
  <c r="L270" i="105"/>
  <c r="L1023" i="105" s="1"/>
  <c r="L267" i="105"/>
  <c r="I265" i="105"/>
  <c r="N262" i="105"/>
  <c r="I260" i="105"/>
  <c r="N256" i="105"/>
  <c r="I254" i="105"/>
  <c r="N251" i="105"/>
  <c r="I249" i="105"/>
  <c r="J189" i="105"/>
  <c r="K188" i="105"/>
  <c r="L188" i="105"/>
  <c r="M188" i="105"/>
  <c r="N188" i="105"/>
  <c r="J188" i="105"/>
  <c r="J187" i="105"/>
  <c r="N225" i="105"/>
  <c r="I223" i="105"/>
  <c r="N220" i="105"/>
  <c r="I218" i="105"/>
  <c r="N215" i="105"/>
  <c r="I213" i="105"/>
  <c r="N210" i="105"/>
  <c r="I208" i="105"/>
  <c r="N205" i="105"/>
  <c r="I203" i="105"/>
  <c r="N200" i="105"/>
  <c r="I198" i="105"/>
  <c r="N195" i="105"/>
  <c r="I193" i="105"/>
  <c r="N245" i="105"/>
  <c r="I243" i="105"/>
  <c r="L240" i="105"/>
  <c r="I238" i="105"/>
  <c r="N235" i="105"/>
  <c r="I233" i="105"/>
  <c r="N230" i="105"/>
  <c r="I228" i="105"/>
  <c r="N184" i="105"/>
  <c r="I182" i="105"/>
  <c r="N179" i="105"/>
  <c r="I177" i="105"/>
  <c r="N174" i="105"/>
  <c r="I172" i="105"/>
  <c r="J129" i="105"/>
  <c r="N163" i="105"/>
  <c r="I161" i="105"/>
  <c r="N159" i="105"/>
  <c r="I157" i="105"/>
  <c r="N152" i="105"/>
  <c r="I150" i="105"/>
  <c r="N146" i="105"/>
  <c r="I144" i="105"/>
  <c r="N139" i="105"/>
  <c r="I137" i="105"/>
  <c r="N134" i="105"/>
  <c r="I132" i="105"/>
  <c r="L124" i="105"/>
  <c r="I122" i="105"/>
  <c r="K119" i="105"/>
  <c r="L119" i="105"/>
  <c r="J119" i="105"/>
  <c r="I117" i="105"/>
  <c r="R157" i="181" l="1"/>
  <c r="R168" i="181" s="1"/>
  <c r="N1023" i="105"/>
  <c r="I728" i="105"/>
  <c r="I270" i="105"/>
  <c r="I188" i="105"/>
  <c r="I43" i="181"/>
  <c r="M157" i="181"/>
  <c r="M168" i="181" s="1"/>
  <c r="J231" i="182"/>
  <c r="P157" i="181"/>
  <c r="P168" i="181" s="1"/>
  <c r="L157" i="181"/>
  <c r="L168" i="181" s="1"/>
  <c r="Q157" i="181"/>
  <c r="Q168" i="181" s="1"/>
  <c r="J225" i="182"/>
  <c r="J153" i="182"/>
  <c r="K157" i="181"/>
  <c r="K168" i="181" s="1"/>
  <c r="N157" i="181"/>
  <c r="N168" i="181" s="1"/>
  <c r="O157" i="181"/>
  <c r="O168" i="181" s="1"/>
  <c r="J157" i="181"/>
  <c r="J168" i="181" s="1"/>
  <c r="I147" i="181"/>
  <c r="I93" i="181"/>
  <c r="I64" i="181"/>
  <c r="J66" i="181"/>
  <c r="I368" i="105"/>
  <c r="I320" i="105"/>
  <c r="I290" i="105"/>
  <c r="L272" i="105"/>
  <c r="I1023" i="105" l="1"/>
  <c r="I157" i="181"/>
  <c r="I168" i="181" s="1"/>
  <c r="K114" i="105"/>
  <c r="L114" i="105"/>
  <c r="J114" i="105"/>
  <c r="I112" i="105"/>
  <c r="N109" i="105"/>
  <c r="I107" i="105"/>
  <c r="K42" i="105"/>
  <c r="L42" i="105"/>
  <c r="M42" i="105"/>
  <c r="N42" i="105"/>
  <c r="J42" i="105"/>
  <c r="N104" i="105"/>
  <c r="I102" i="105"/>
  <c r="N100" i="105"/>
  <c r="I98" i="105"/>
  <c r="N95" i="105"/>
  <c r="I93" i="105"/>
  <c r="N90" i="105"/>
  <c r="I88" i="105"/>
  <c r="N85" i="105"/>
  <c r="I83" i="105"/>
  <c r="N80" i="105"/>
  <c r="I78" i="105"/>
  <c r="N74" i="105"/>
  <c r="I72" i="105"/>
  <c r="N69" i="105"/>
  <c r="I67" i="105"/>
  <c r="N64" i="105"/>
  <c r="I62" i="105"/>
  <c r="N59" i="105"/>
  <c r="I57" i="105"/>
  <c r="N54" i="105"/>
  <c r="I52" i="105"/>
  <c r="N49" i="105"/>
  <c r="I47" i="105"/>
  <c r="L39" i="105"/>
  <c r="I37" i="105"/>
  <c r="K34" i="105"/>
  <c r="L34" i="105"/>
  <c r="N34" i="105"/>
  <c r="J34" i="105"/>
  <c r="I32" i="105"/>
  <c r="K29" i="105"/>
  <c r="L29" i="105"/>
  <c r="J29" i="105"/>
  <c r="I27" i="105"/>
  <c r="K24" i="105"/>
  <c r="L24" i="105"/>
  <c r="N24" i="105"/>
  <c r="J24" i="105"/>
  <c r="I22" i="105"/>
  <c r="I17" i="105"/>
  <c r="L14" i="105"/>
  <c r="I12" i="105"/>
  <c r="L71" i="113"/>
  <c r="J70" i="113"/>
  <c r="L69" i="113"/>
  <c r="L67" i="113"/>
  <c r="L68" i="113"/>
  <c r="L66" i="113"/>
  <c r="L62" i="113"/>
  <c r="J65" i="113"/>
  <c r="L63" i="113"/>
  <c r="L64" i="113"/>
  <c r="J61" i="113"/>
  <c r="J55" i="113"/>
  <c r="L54" i="113"/>
  <c r="L53" i="113"/>
  <c r="L52" i="113"/>
  <c r="L51" i="113"/>
  <c r="J50" i="113"/>
  <c r="L48" i="113"/>
  <c r="H17" i="109" s="1"/>
  <c r="J46" i="113"/>
  <c r="L44" i="113"/>
  <c r="L41" i="113"/>
  <c r="L40" i="113"/>
  <c r="L37" i="113"/>
  <c r="L38" i="113"/>
  <c r="L39" i="113"/>
  <c r="L36" i="113"/>
  <c r="L31" i="113"/>
  <c r="J35" i="113"/>
  <c r="L26" i="113"/>
  <c r="L27" i="113"/>
  <c r="L28" i="113"/>
  <c r="L29" i="113"/>
  <c r="L30" i="113"/>
  <c r="L25" i="113"/>
  <c r="J24" i="113"/>
  <c r="J23" i="113" s="1"/>
  <c r="L22" i="113"/>
  <c r="L21" i="113"/>
  <c r="L20" i="113"/>
  <c r="L13" i="113"/>
  <c r="L14" i="113"/>
  <c r="L15" i="113"/>
  <c r="L16" i="113"/>
  <c r="L17" i="113"/>
  <c r="J11" i="113"/>
  <c r="J10" i="113" s="1"/>
  <c r="L142" i="185"/>
  <c r="L143" i="185"/>
  <c r="L144" i="185"/>
  <c r="L145" i="185"/>
  <c r="L146" i="185"/>
  <c r="L147" i="185"/>
  <c r="L148" i="185"/>
  <c r="L149" i="185"/>
  <c r="L151" i="185"/>
  <c r="L141" i="185"/>
  <c r="J152" i="185"/>
  <c r="J138" i="185"/>
  <c r="K138" i="185"/>
  <c r="L137" i="185"/>
  <c r="L133" i="185"/>
  <c r="L132" i="185"/>
  <c r="L131" i="185"/>
  <c r="L130" i="185"/>
  <c r="L126" i="185"/>
  <c r="L125" i="185"/>
  <c r="L124" i="185"/>
  <c r="L123" i="185"/>
  <c r="L122" i="185"/>
  <c r="L121" i="185"/>
  <c r="L118" i="185"/>
  <c r="L117" i="185"/>
  <c r="L116" i="185"/>
  <c r="L115" i="185"/>
  <c r="L111" i="185"/>
  <c r="L110" i="185"/>
  <c r="L108" i="185"/>
  <c r="L107" i="185"/>
  <c r="L106" i="185"/>
  <c r="L105" i="185"/>
  <c r="L104" i="185"/>
  <c r="L103" i="185"/>
  <c r="L101" i="185"/>
  <c r="L100" i="185"/>
  <c r="L99" i="185"/>
  <c r="L98" i="185"/>
  <c r="L97" i="185"/>
  <c r="L94" i="185"/>
  <c r="L93" i="185"/>
  <c r="L92" i="185"/>
  <c r="L91" i="185"/>
  <c r="L90" i="185"/>
  <c r="L89" i="185"/>
  <c r="L88" i="185"/>
  <c r="L87" i="185"/>
  <c r="L86" i="185"/>
  <c r="L85" i="185"/>
  <c r="L84" i="185"/>
  <c r="L82" i="185"/>
  <c r="L81" i="185"/>
  <c r="L80" i="185"/>
  <c r="L76" i="185"/>
  <c r="L75" i="185"/>
  <c r="L72" i="185"/>
  <c r="L70" i="185"/>
  <c r="L69" i="185"/>
  <c r="L67" i="185"/>
  <c r="L64" i="185"/>
  <c r="L63" i="185"/>
  <c r="L61" i="185"/>
  <c r="L59" i="185"/>
  <c r="L51" i="185"/>
  <c r="L50" i="185"/>
  <c r="L47" i="185"/>
  <c r="L42" i="185"/>
  <c r="L39" i="185"/>
  <c r="L38" i="185"/>
  <c r="L36" i="185"/>
  <c r="L35" i="185"/>
  <c r="L32" i="185"/>
  <c r="L28" i="185"/>
  <c r="L25" i="185"/>
  <c r="L24" i="185"/>
  <c r="L22" i="185"/>
  <c r="L21" i="185"/>
  <c r="L19" i="185"/>
  <c r="L13" i="185"/>
  <c r="L14" i="185"/>
  <c r="L15" i="185"/>
  <c r="L16" i="185"/>
  <c r="L12" i="185"/>
  <c r="J45" i="113" l="1"/>
  <c r="N1018" i="105"/>
  <c r="N1028" i="105"/>
  <c r="M1018" i="105"/>
  <c r="M1028" i="105"/>
  <c r="L1018" i="105"/>
  <c r="L1028" i="105"/>
  <c r="J1028" i="105"/>
  <c r="J1018" i="105"/>
  <c r="K1018" i="105"/>
  <c r="K1028" i="105"/>
  <c r="J60" i="113"/>
  <c r="J59" i="113" s="1"/>
  <c r="J153" i="185"/>
  <c r="J157" i="185" s="1"/>
  <c r="I42" i="105"/>
  <c r="L24" i="113"/>
  <c r="J9" i="113"/>
  <c r="J57" i="113" l="1"/>
  <c r="J58" i="113" s="1"/>
  <c r="I1028" i="105"/>
  <c r="I1018" i="105"/>
  <c r="J75" i="113" l="1"/>
  <c r="J166" i="134"/>
  <c r="L164" i="134"/>
  <c r="K474" i="134"/>
  <c r="L472" i="134"/>
  <c r="K470" i="134"/>
  <c r="L468" i="134"/>
  <c r="J466" i="134"/>
  <c r="L464" i="134"/>
  <c r="J462" i="134"/>
  <c r="L460" i="134"/>
  <c r="K458" i="134"/>
  <c r="L456" i="134"/>
  <c r="J454" i="134"/>
  <c r="L452" i="134"/>
  <c r="J450" i="134"/>
  <c r="L448" i="134"/>
  <c r="J445" i="134"/>
  <c r="L443" i="134"/>
  <c r="J440" i="134"/>
  <c r="L438" i="134"/>
  <c r="J435" i="134"/>
  <c r="L433" i="134"/>
  <c r="J430" i="134"/>
  <c r="L428" i="134"/>
  <c r="J425" i="134"/>
  <c r="L423" i="134"/>
  <c r="J420" i="134"/>
  <c r="L418" i="134"/>
  <c r="J415" i="134"/>
  <c r="L413" i="134"/>
  <c r="J410" i="134"/>
  <c r="L408" i="134"/>
  <c r="J405" i="134"/>
  <c r="L403" i="134"/>
  <c r="J400" i="134"/>
  <c r="L398" i="134"/>
  <c r="J395" i="134"/>
  <c r="L393" i="134"/>
  <c r="J390" i="134"/>
  <c r="L388" i="134"/>
  <c r="I385" i="134"/>
  <c r="L383" i="134"/>
  <c r="J380" i="134"/>
  <c r="L378" i="134"/>
  <c r="J375" i="134"/>
  <c r="L373" i="134"/>
  <c r="J370" i="134"/>
  <c r="L368" i="134"/>
  <c r="J365" i="134"/>
  <c r="L363" i="134"/>
  <c r="J360" i="134"/>
  <c r="L358" i="134"/>
  <c r="J355" i="134"/>
  <c r="L353" i="134"/>
  <c r="J350" i="134"/>
  <c r="L348" i="134"/>
  <c r="J345" i="134"/>
  <c r="L343" i="134"/>
  <c r="J340" i="134"/>
  <c r="L338" i="134"/>
  <c r="J335" i="134"/>
  <c r="L333" i="134"/>
  <c r="J330" i="134"/>
  <c r="L328" i="134"/>
  <c r="K325" i="134"/>
  <c r="L323" i="134"/>
  <c r="J321" i="134"/>
  <c r="L319" i="134"/>
  <c r="J316" i="134"/>
  <c r="L314" i="134"/>
  <c r="J311" i="134"/>
  <c r="L309" i="134"/>
  <c r="J306" i="134"/>
  <c r="L304" i="134"/>
  <c r="J301" i="134"/>
  <c r="L299" i="134"/>
  <c r="I296" i="134"/>
  <c r="L294" i="134"/>
  <c r="J291" i="134"/>
  <c r="L289" i="134"/>
  <c r="J286" i="134"/>
  <c r="L284" i="134"/>
  <c r="J281" i="134"/>
  <c r="L279" i="134"/>
  <c r="J276" i="134"/>
  <c r="L274" i="134"/>
  <c r="J271" i="134"/>
  <c r="L269" i="134"/>
  <c r="J266" i="134"/>
  <c r="L264" i="134"/>
  <c r="J261" i="134"/>
  <c r="L259" i="134"/>
  <c r="J256" i="134"/>
  <c r="L254" i="134"/>
  <c r="J251" i="134"/>
  <c r="L249" i="134"/>
  <c r="J246" i="134"/>
  <c r="L244" i="134"/>
  <c r="J241" i="134"/>
  <c r="L239" i="134"/>
  <c r="J236" i="134"/>
  <c r="L234" i="134"/>
  <c r="J231" i="134"/>
  <c r="L229" i="134"/>
  <c r="J226" i="134"/>
  <c r="L224" i="134"/>
  <c r="J221" i="134"/>
  <c r="L219" i="134"/>
  <c r="J216" i="134"/>
  <c r="L214" i="134"/>
  <c r="K211" i="134"/>
  <c r="L209" i="134"/>
  <c r="J206" i="134"/>
  <c r="I206" i="134"/>
  <c r="L204" i="134"/>
  <c r="J201" i="134"/>
  <c r="I201" i="134"/>
  <c r="L199" i="134"/>
  <c r="J196" i="134"/>
  <c r="L194" i="134"/>
  <c r="J191" i="134"/>
  <c r="L189" i="134"/>
  <c r="J186" i="134"/>
  <c r="I186" i="134"/>
  <c r="L184" i="134"/>
  <c r="J181" i="134"/>
  <c r="L179" i="134"/>
  <c r="J176" i="134"/>
  <c r="L174" i="134"/>
  <c r="J171" i="134"/>
  <c r="L169" i="134"/>
  <c r="K161" i="134"/>
  <c r="L159" i="134"/>
  <c r="J153" i="134"/>
  <c r="I153" i="134"/>
  <c r="L151" i="134"/>
  <c r="K67" i="134"/>
  <c r="J67" i="134"/>
  <c r="K142" i="134"/>
  <c r="L140" i="134"/>
  <c r="K138" i="134"/>
  <c r="L136" i="134"/>
  <c r="J134" i="134"/>
  <c r="L132" i="134"/>
  <c r="J130" i="134"/>
  <c r="L128" i="134"/>
  <c r="K126" i="134"/>
  <c r="L124" i="134"/>
  <c r="K122" i="134"/>
  <c r="L120" i="134"/>
  <c r="J118" i="134"/>
  <c r="L116" i="134"/>
  <c r="J114" i="134"/>
  <c r="L112" i="134"/>
  <c r="K109" i="134"/>
  <c r="L107" i="134"/>
  <c r="J104" i="134"/>
  <c r="L102" i="134"/>
  <c r="J99" i="134"/>
  <c r="L97" i="134"/>
  <c r="J94" i="134"/>
  <c r="L92" i="134"/>
  <c r="J89" i="134"/>
  <c r="L87" i="134"/>
  <c r="J84" i="134"/>
  <c r="L82" i="134"/>
  <c r="J79" i="134"/>
  <c r="L77" i="134"/>
  <c r="K74" i="134"/>
  <c r="L72" i="134"/>
  <c r="J63" i="134"/>
  <c r="L61" i="134"/>
  <c r="J58" i="134"/>
  <c r="I58" i="134"/>
  <c r="L56" i="134"/>
  <c r="L48" i="134"/>
  <c r="J45" i="134"/>
  <c r="I45" i="134"/>
  <c r="L43" i="134"/>
  <c r="J40" i="134"/>
  <c r="L38" i="134"/>
  <c r="J36" i="134"/>
  <c r="L34" i="134"/>
  <c r="L35" i="134"/>
  <c r="J30" i="134"/>
  <c r="L28" i="134"/>
  <c r="J25" i="134"/>
  <c r="L23" i="134"/>
  <c r="J20" i="134"/>
  <c r="L18" i="134"/>
  <c r="J15" i="134"/>
  <c r="L13" i="134"/>
  <c r="J15" i="147"/>
  <c r="E22" i="147"/>
  <c r="J549" i="134" l="1"/>
  <c r="J539" i="134"/>
  <c r="K549" i="134"/>
  <c r="K539" i="134"/>
  <c r="L67" i="134"/>
  <c r="J91" i="147"/>
  <c r="K89" i="147"/>
  <c r="J86" i="147"/>
  <c r="K84" i="147"/>
  <c r="J80" i="147"/>
  <c r="K78" i="147"/>
  <c r="J73" i="147"/>
  <c r="K71" i="147"/>
  <c r="J69" i="147"/>
  <c r="K67" i="147"/>
  <c r="J64" i="147"/>
  <c r="K62" i="147"/>
  <c r="J58" i="147"/>
  <c r="K56" i="147"/>
  <c r="J51" i="147"/>
  <c r="K49" i="147"/>
  <c r="J45" i="147"/>
  <c r="K43" i="147"/>
  <c r="J40" i="147"/>
  <c r="K40" i="147" s="1"/>
  <c r="E36" i="147" s="1"/>
  <c r="K38" i="147"/>
  <c r="J35" i="147"/>
  <c r="K35" i="147" s="1"/>
  <c r="E31" i="147" s="1"/>
  <c r="K33" i="147"/>
  <c r="J27" i="147"/>
  <c r="K27" i="147" s="1"/>
  <c r="E23" i="147" s="1"/>
  <c r="K25" i="147"/>
  <c r="K15" i="147"/>
  <c r="E11" i="147" s="1"/>
  <c r="J20" i="147"/>
  <c r="K20" i="147" s="1"/>
  <c r="E16" i="147" s="1"/>
  <c r="K18" i="147"/>
  <c r="K13" i="147"/>
  <c r="J171" i="144"/>
  <c r="K171" i="144"/>
  <c r="L171" i="144"/>
  <c r="M171" i="144"/>
  <c r="N171" i="144"/>
  <c r="I171" i="144"/>
  <c r="K105" i="144"/>
  <c r="P103" i="144"/>
  <c r="K100" i="144"/>
  <c r="P98" i="144"/>
  <c r="N95" i="144"/>
  <c r="P93" i="144"/>
  <c r="M90" i="144"/>
  <c r="K90" i="144"/>
  <c r="P88" i="144"/>
  <c r="K85" i="144"/>
  <c r="P83" i="144"/>
  <c r="M80" i="144"/>
  <c r="K80" i="144"/>
  <c r="P78" i="144"/>
  <c r="K75" i="144"/>
  <c r="P73" i="144"/>
  <c r="K70" i="144"/>
  <c r="P68" i="144"/>
  <c r="K65" i="144"/>
  <c r="P63" i="144"/>
  <c r="M60" i="144"/>
  <c r="P58" i="144"/>
  <c r="K55" i="144"/>
  <c r="P53" i="144"/>
  <c r="K50" i="144"/>
  <c r="P48" i="144"/>
  <c r="M45" i="144"/>
  <c r="K45" i="144"/>
  <c r="P43" i="144"/>
  <c r="K40" i="144"/>
  <c r="P38" i="144"/>
  <c r="J35" i="144"/>
  <c r="K35" i="144"/>
  <c r="I35" i="144"/>
  <c r="P33" i="144"/>
  <c r="J30" i="144"/>
  <c r="K30" i="144"/>
  <c r="M30" i="144"/>
  <c r="I30" i="144"/>
  <c r="P28" i="144"/>
  <c r="J25" i="144"/>
  <c r="K25" i="144"/>
  <c r="M25" i="144"/>
  <c r="I25" i="144"/>
  <c r="P23" i="144"/>
  <c r="J20" i="144"/>
  <c r="K20" i="144"/>
  <c r="I20" i="144"/>
  <c r="P18" i="144"/>
  <c r="P13" i="144"/>
  <c r="K15" i="144"/>
  <c r="E173" i="188"/>
  <c r="E358" i="188" s="1"/>
  <c r="F90" i="187"/>
  <c r="G90" i="187" s="1"/>
  <c r="D90" i="187"/>
  <c r="F89" i="187"/>
  <c r="G89" i="187" s="1"/>
  <c r="D89" i="187"/>
  <c r="F88" i="187"/>
  <c r="G88" i="187" s="1"/>
  <c r="D88" i="187"/>
  <c r="F87" i="187"/>
  <c r="G87" i="187" s="1"/>
  <c r="D87" i="187"/>
  <c r="F86" i="187"/>
  <c r="G86" i="187" s="1"/>
  <c r="D86" i="187"/>
  <c r="F85" i="187"/>
  <c r="G85" i="187" s="1"/>
  <c r="D85" i="187"/>
  <c r="F84" i="187"/>
  <c r="D84" i="187"/>
  <c r="F72" i="187"/>
  <c r="F82" i="187" s="1"/>
  <c r="D72" i="187"/>
  <c r="D82" i="187" s="1"/>
  <c r="L549" i="134" l="1"/>
  <c r="P169" i="144"/>
  <c r="L539" i="134"/>
  <c r="K108" i="147"/>
  <c r="K98" i="147"/>
  <c r="K103" i="147"/>
  <c r="L145" i="182" l="1"/>
  <c r="N145" i="182"/>
  <c r="O145" i="182"/>
  <c r="P145" i="182"/>
  <c r="Q145" i="182"/>
  <c r="R145" i="182"/>
  <c r="K145" i="182"/>
  <c r="K222" i="182" l="1"/>
  <c r="L222" i="182" l="1"/>
  <c r="M222" i="182"/>
  <c r="N222" i="182"/>
  <c r="O222" i="182"/>
  <c r="Q222" i="182"/>
  <c r="R222" i="182"/>
  <c r="L62" i="182" l="1"/>
  <c r="M62" i="182"/>
  <c r="N62" i="182"/>
  <c r="O62" i="182"/>
  <c r="P62" i="182"/>
  <c r="Q62" i="182"/>
  <c r="R62" i="182"/>
  <c r="J100" i="147" l="1"/>
  <c r="N43" i="105"/>
  <c r="K239" i="182"/>
  <c r="L239" i="182"/>
  <c r="M239" i="182"/>
  <c r="N239" i="182"/>
  <c r="O239" i="182"/>
  <c r="P239" i="182"/>
  <c r="Q239" i="182"/>
  <c r="R239" i="182"/>
  <c r="K149" i="181"/>
  <c r="M149" i="181"/>
  <c r="N149" i="181"/>
  <c r="O149" i="181"/>
  <c r="Q149" i="181"/>
  <c r="R149" i="181"/>
  <c r="J149" i="181"/>
  <c r="K66" i="181"/>
  <c r="L66" i="181"/>
  <c r="M66" i="181"/>
  <c r="N66" i="181"/>
  <c r="O66" i="181"/>
  <c r="Q66" i="181"/>
  <c r="R66" i="181"/>
  <c r="N44" i="105" l="1"/>
  <c r="N129" i="105"/>
  <c r="I999" i="105"/>
  <c r="I998" i="105"/>
  <c r="K18" i="115"/>
  <c r="L18" i="115" s="1"/>
  <c r="L17" i="115" s="1"/>
  <c r="H19" i="109" l="1"/>
  <c r="J546" i="134" l="1"/>
  <c r="I546" i="134"/>
  <c r="I551" i="134"/>
  <c r="I541" i="134"/>
  <c r="L40" i="134"/>
  <c r="L36" i="134"/>
  <c r="L39" i="134"/>
  <c r="Q57" i="144"/>
  <c r="L474" i="134"/>
  <c r="E471" i="134" s="1"/>
  <c r="K1025" i="105"/>
  <c r="L1025" i="105"/>
  <c r="M1025" i="105"/>
  <c r="J1025" i="105"/>
  <c r="I995" i="105"/>
  <c r="I994" i="105"/>
  <c r="K95" i="181"/>
  <c r="L95" i="181"/>
  <c r="M95" i="181"/>
  <c r="N95" i="181"/>
  <c r="O95" i="181"/>
  <c r="P95" i="181"/>
  <c r="R95" i="181"/>
  <c r="J95" i="181"/>
  <c r="I905" i="105"/>
  <c r="I904" i="105"/>
  <c r="I991" i="105"/>
  <c r="I990" i="105"/>
  <c r="M92" i="182" l="1"/>
  <c r="K233" i="182"/>
  <c r="K92" i="182"/>
  <c r="R233" i="182"/>
  <c r="R92" i="182"/>
  <c r="Q233" i="182"/>
  <c r="Q92" i="182"/>
  <c r="O233" i="182"/>
  <c r="N233" i="182"/>
  <c r="N92" i="182"/>
  <c r="P233" i="182"/>
  <c r="P92" i="182"/>
  <c r="L233" i="182"/>
  <c r="L92" i="182"/>
  <c r="L473" i="134"/>
  <c r="K546" i="134"/>
  <c r="I878" i="105"/>
  <c r="I877" i="105"/>
  <c r="I855" i="105"/>
  <c r="I854" i="105"/>
  <c r="M129" i="105"/>
  <c r="I163" i="105"/>
  <c r="I162" i="105"/>
  <c r="I146" i="105"/>
  <c r="I145" i="105"/>
  <c r="K43" i="105"/>
  <c r="K44" i="105" s="1"/>
  <c r="L43" i="105"/>
  <c r="L44" i="105" s="1"/>
  <c r="M43" i="105"/>
  <c r="M44" i="105" s="1"/>
  <c r="J43" i="105"/>
  <c r="J44" i="105" s="1"/>
  <c r="I104" i="105"/>
  <c r="I103" i="105"/>
  <c r="I99" i="105"/>
  <c r="L469" i="134"/>
  <c r="L466" i="134"/>
  <c r="E463" i="134" s="1"/>
  <c r="L465" i="134"/>
  <c r="J541" i="134" l="1"/>
  <c r="J551" i="134"/>
  <c r="L129" i="105"/>
  <c r="K129" i="105"/>
  <c r="J69" i="134"/>
  <c r="L470" i="134"/>
  <c r="E467" i="134" s="1"/>
  <c r="E64" i="134" l="1"/>
  <c r="F37" i="134"/>
  <c r="F33" i="134"/>
  <c r="F32" i="134"/>
  <c r="F31" i="134"/>
  <c r="G366" i="105"/>
  <c r="G318" i="105"/>
  <c r="F318" i="105"/>
  <c r="G152" i="185"/>
  <c r="H73" i="185" l="1"/>
  <c r="I235" i="182" l="1"/>
  <c r="I216" i="182"/>
  <c r="L325" i="134"/>
  <c r="E322" i="134" s="1"/>
  <c r="L324" i="134"/>
  <c r="I919" i="105" l="1"/>
  <c r="I918" i="105"/>
  <c r="J46" i="182" l="1"/>
  <c r="I51" i="181"/>
  <c r="K154" i="182" l="1"/>
  <c r="K155" i="182" s="1"/>
  <c r="J15" i="182"/>
  <c r="L142" i="134"/>
  <c r="E139" i="134" s="1"/>
  <c r="L141" i="134"/>
  <c r="I535" i="105"/>
  <c r="I534" i="105"/>
  <c r="L540" i="134" l="1"/>
  <c r="L550" i="134"/>
  <c r="K69" i="134"/>
  <c r="I18" i="181"/>
  <c r="K551" i="134" l="1"/>
  <c r="K541" i="134"/>
  <c r="I25" i="181"/>
  <c r="L138" i="134"/>
  <c r="E135" i="134" s="1"/>
  <c r="L137" i="134"/>
  <c r="J29" i="182"/>
  <c r="J97" i="182" l="1"/>
  <c r="I100" i="181"/>
  <c r="K226" i="182"/>
  <c r="K227" i="182" s="1"/>
  <c r="L134" i="134"/>
  <c r="E131" i="134" s="1"/>
  <c r="L133" i="134"/>
  <c r="L130" i="134"/>
  <c r="E127" i="134" s="1"/>
  <c r="L129" i="134"/>
  <c r="L126" i="134"/>
  <c r="E123" i="134" s="1"/>
  <c r="L125" i="134"/>
  <c r="L122" i="134"/>
  <c r="E119" i="134" s="1"/>
  <c r="L121" i="134"/>
  <c r="L118" i="134" l="1"/>
  <c r="E115" i="134" s="1"/>
  <c r="L117" i="134"/>
  <c r="J81" i="182"/>
  <c r="I802" i="105" l="1"/>
  <c r="I795" i="105"/>
  <c r="I914" i="105"/>
  <c r="I913" i="105"/>
  <c r="I143" i="181" l="1"/>
  <c r="L462" i="134"/>
  <c r="E459" i="134" s="1"/>
  <c r="L461" i="134"/>
  <c r="L458" i="134"/>
  <c r="E455" i="134" s="1"/>
  <c r="L457" i="134"/>
  <c r="L454" i="134" l="1"/>
  <c r="E451" i="134" s="1"/>
  <c r="L453" i="134"/>
  <c r="J200" i="182"/>
  <c r="J105" i="147"/>
  <c r="I105" i="147"/>
  <c r="I100" i="147"/>
  <c r="K100" i="147" s="1"/>
  <c r="K73" i="147"/>
  <c r="E70" i="147" s="1"/>
  <c r="K72" i="147"/>
  <c r="K105" i="147" l="1"/>
  <c r="J201" i="182"/>
  <c r="L149" i="181" l="1"/>
  <c r="I89" i="181"/>
  <c r="I164" i="181"/>
  <c r="I452" i="105"/>
  <c r="J68" i="182"/>
  <c r="J74" i="182"/>
  <c r="J80" i="182"/>
  <c r="I88" i="181"/>
  <c r="I73" i="181"/>
  <c r="I75" i="181"/>
  <c r="I81" i="181"/>
  <c r="I82" i="181"/>
  <c r="M233" i="182" l="1"/>
  <c r="J82" i="182"/>
  <c r="I135" i="181"/>
  <c r="J131" i="182"/>
  <c r="J132" i="182"/>
  <c r="P149" i="181"/>
  <c r="I76" i="181"/>
  <c r="J67" i="182"/>
  <c r="I71" i="181"/>
  <c r="M145" i="182" l="1"/>
  <c r="M154" i="182"/>
  <c r="Q95" i="181"/>
  <c r="I72" i="181"/>
  <c r="J54" i="182" l="1"/>
  <c r="P66" i="181" l="1"/>
  <c r="H26" i="109"/>
  <c r="H37" i="109" s="1"/>
  <c r="L450" i="134" l="1"/>
  <c r="E446" i="134" s="1"/>
  <c r="L449" i="134"/>
  <c r="L445" i="134"/>
  <c r="E441" i="134" s="1"/>
  <c r="L444" i="134"/>
  <c r="L439" i="134"/>
  <c r="L434" i="134"/>
  <c r="L430" i="134"/>
  <c r="E426" i="134" s="1"/>
  <c r="L429" i="134"/>
  <c r="L425" i="134"/>
  <c r="E421" i="134" s="1"/>
  <c r="L424" i="134"/>
  <c r="L420" i="134"/>
  <c r="E416" i="134" s="1"/>
  <c r="L419" i="134"/>
  <c r="L415" i="134"/>
  <c r="E411" i="134" s="1"/>
  <c r="L414" i="134"/>
  <c r="L410" i="134"/>
  <c r="E406" i="134" s="1"/>
  <c r="L409" i="134"/>
  <c r="L405" i="134"/>
  <c r="E401" i="134" s="1"/>
  <c r="L404" i="134"/>
  <c r="L400" i="134"/>
  <c r="E396" i="134" s="1"/>
  <c r="L399" i="134"/>
  <c r="L395" i="134"/>
  <c r="E391" i="134" s="1"/>
  <c r="L394" i="134"/>
  <c r="L390" i="134"/>
  <c r="E386" i="134" s="1"/>
  <c r="L389" i="134"/>
  <c r="I538" i="134"/>
  <c r="L385" i="134"/>
  <c r="E381" i="134" s="1"/>
  <c r="L384" i="134"/>
  <c r="L380" i="134"/>
  <c r="E376" i="134" s="1"/>
  <c r="L379" i="134"/>
  <c r="L375" i="134"/>
  <c r="E371" i="134" s="1"/>
  <c r="L374" i="134"/>
  <c r="L370" i="134"/>
  <c r="E366" i="134" s="1"/>
  <c r="L369" i="134"/>
  <c r="L365" i="134"/>
  <c r="E361" i="134" s="1"/>
  <c r="L364" i="134"/>
  <c r="L360" i="134"/>
  <c r="E356" i="134" s="1"/>
  <c r="L359" i="134"/>
  <c r="L355" i="134"/>
  <c r="E351" i="134" s="1"/>
  <c r="L354" i="134"/>
  <c r="L350" i="134"/>
  <c r="E346" i="134" s="1"/>
  <c r="L349" i="134"/>
  <c r="L345" i="134"/>
  <c r="E341" i="134" s="1"/>
  <c r="L344" i="134"/>
  <c r="L340" i="134"/>
  <c r="E336" i="134" s="1"/>
  <c r="L339" i="134"/>
  <c r="L335" i="134"/>
  <c r="E331" i="134" s="1"/>
  <c r="L334" i="134"/>
  <c r="L330" i="134"/>
  <c r="E326" i="134" s="1"/>
  <c r="L329" i="134"/>
  <c r="L321" i="134"/>
  <c r="E317" i="134" s="1"/>
  <c r="L320" i="134"/>
  <c r="L316" i="134"/>
  <c r="E312" i="134" s="1"/>
  <c r="L315" i="134"/>
  <c r="L311" i="134"/>
  <c r="E307" i="134" s="1"/>
  <c r="L310" i="134"/>
  <c r="L306" i="134"/>
  <c r="E302" i="134" s="1"/>
  <c r="L305" i="134"/>
  <c r="L301" i="134"/>
  <c r="E297" i="134" s="1"/>
  <c r="L300" i="134"/>
  <c r="L296" i="134"/>
  <c r="E292" i="134" s="1"/>
  <c r="L295" i="134"/>
  <c r="L291" i="134"/>
  <c r="E287" i="134" s="1"/>
  <c r="L290" i="134"/>
  <c r="L286" i="134"/>
  <c r="E282" i="134" s="1"/>
  <c r="L285" i="134"/>
  <c r="L281" i="134"/>
  <c r="E277" i="134" s="1"/>
  <c r="L280" i="134"/>
  <c r="L276" i="134"/>
  <c r="E272" i="134" s="1"/>
  <c r="L275" i="134"/>
  <c r="L271" i="134"/>
  <c r="E267" i="134" s="1"/>
  <c r="L270" i="134"/>
  <c r="L266" i="134"/>
  <c r="E262" i="134" s="1"/>
  <c r="L265" i="134"/>
  <c r="L261" i="134"/>
  <c r="E257" i="134" s="1"/>
  <c r="L260" i="134"/>
  <c r="L256" i="134"/>
  <c r="E252" i="134" s="1"/>
  <c r="L255" i="134"/>
  <c r="L251" i="134"/>
  <c r="E247" i="134" s="1"/>
  <c r="L250" i="134"/>
  <c r="L246" i="134"/>
  <c r="E242" i="134" s="1"/>
  <c r="L245" i="134"/>
  <c r="L241" i="134"/>
  <c r="E237" i="134" s="1"/>
  <c r="L240" i="134"/>
  <c r="L236" i="134"/>
  <c r="E232" i="134" s="1"/>
  <c r="L235" i="134"/>
  <c r="L231" i="134"/>
  <c r="E227" i="134" s="1"/>
  <c r="L230" i="134"/>
  <c r="L225" i="134"/>
  <c r="L221" i="134"/>
  <c r="E217" i="134" s="1"/>
  <c r="L220" i="134"/>
  <c r="L216" i="134"/>
  <c r="E212" i="134" s="1"/>
  <c r="L215" i="134"/>
  <c r="L211" i="134"/>
  <c r="E207" i="134" s="1"/>
  <c r="L210" i="134"/>
  <c r="L205" i="134"/>
  <c r="L200" i="134"/>
  <c r="L196" i="134"/>
  <c r="E192" i="134" s="1"/>
  <c r="L195" i="134"/>
  <c r="L191" i="134"/>
  <c r="E187" i="134" s="1"/>
  <c r="L190" i="134"/>
  <c r="L185" i="134"/>
  <c r="L181" i="134"/>
  <c r="E177" i="134" s="1"/>
  <c r="L180" i="134"/>
  <c r="L176" i="134"/>
  <c r="E172" i="134" s="1"/>
  <c r="L175" i="134"/>
  <c r="L171" i="134"/>
  <c r="E167" i="134" s="1"/>
  <c r="L170" i="134"/>
  <c r="L166" i="134"/>
  <c r="E162" i="134" s="1"/>
  <c r="L165" i="134"/>
  <c r="L161" i="134"/>
  <c r="E157" i="134" s="1"/>
  <c r="L160" i="134"/>
  <c r="L152" i="134"/>
  <c r="L114" i="134"/>
  <c r="E110" i="134" s="1"/>
  <c r="L113" i="134"/>
  <c r="L73" i="134"/>
  <c r="L78" i="134"/>
  <c r="L83" i="134"/>
  <c r="L88" i="134"/>
  <c r="L93" i="134"/>
  <c r="L98" i="134"/>
  <c r="L103" i="134"/>
  <c r="L109" i="134"/>
  <c r="E105" i="134" s="1"/>
  <c r="L108" i="134"/>
  <c r="L104" i="134"/>
  <c r="E100" i="134" s="1"/>
  <c r="L99" i="134"/>
  <c r="E95" i="134" s="1"/>
  <c r="L94" i="134"/>
  <c r="E90" i="134" s="1"/>
  <c r="L89" i="134"/>
  <c r="E85" i="134" s="1"/>
  <c r="L84" i="134"/>
  <c r="E80" i="134" s="1"/>
  <c r="L79" i="134"/>
  <c r="E75" i="134" s="1"/>
  <c r="L74" i="134"/>
  <c r="E70" i="134" s="1"/>
  <c r="L63" i="134"/>
  <c r="E59" i="134" s="1"/>
  <c r="L62" i="134"/>
  <c r="L57" i="134"/>
  <c r="L49" i="134"/>
  <c r="L44" i="134"/>
  <c r="L30" i="134"/>
  <c r="E26" i="134" s="1"/>
  <c r="L29" i="134"/>
  <c r="L25" i="134"/>
  <c r="E21" i="134" s="1"/>
  <c r="L24" i="134"/>
  <c r="L20" i="134"/>
  <c r="E16" i="134" s="1"/>
  <c r="L19" i="134"/>
  <c r="L14" i="134"/>
  <c r="P50" i="144"/>
  <c r="E46" i="144" s="1"/>
  <c r="P49" i="144"/>
  <c r="P105" i="144"/>
  <c r="E101" i="144" s="1"/>
  <c r="P100" i="144"/>
  <c r="E96" i="144" s="1"/>
  <c r="P104" i="144"/>
  <c r="P99" i="144"/>
  <c r="P95" i="144"/>
  <c r="E91" i="144" s="1"/>
  <c r="P94" i="144"/>
  <c r="P89" i="144"/>
  <c r="P85" i="144"/>
  <c r="P84" i="144"/>
  <c r="P79" i="144"/>
  <c r="P75" i="144"/>
  <c r="E71" i="144" s="1"/>
  <c r="P74" i="144"/>
  <c r="P70" i="144"/>
  <c r="E66" i="144" s="1"/>
  <c r="P69" i="144"/>
  <c r="P65" i="144"/>
  <c r="E61" i="144" s="1"/>
  <c r="P64" i="144"/>
  <c r="P60" i="144"/>
  <c r="E56" i="144" s="1"/>
  <c r="P59" i="144"/>
  <c r="P55" i="144"/>
  <c r="E51" i="144" s="1"/>
  <c r="P54" i="144"/>
  <c r="P44" i="144"/>
  <c r="P40" i="144"/>
  <c r="E36" i="144" s="1"/>
  <c r="P39" i="144"/>
  <c r="P34" i="144"/>
  <c r="P29" i="144"/>
  <c r="P24" i="144"/>
  <c r="P19" i="144"/>
  <c r="P14" i="144"/>
  <c r="P15" i="144"/>
  <c r="E11" i="144" s="1"/>
  <c r="J110" i="147"/>
  <c r="K104" i="147"/>
  <c r="I102" i="147"/>
  <c r="L37" i="115"/>
  <c r="K99" i="147"/>
  <c r="J97" i="147"/>
  <c r="I97" i="147"/>
  <c r="K91" i="147"/>
  <c r="E87" i="147" s="1"/>
  <c r="K90" i="147"/>
  <c r="K86" i="147"/>
  <c r="E82" i="147" s="1"/>
  <c r="K85" i="147"/>
  <c r="K80" i="147"/>
  <c r="E76" i="147" s="1"/>
  <c r="K79" i="147"/>
  <c r="K69" i="147"/>
  <c r="E65" i="147" s="1"/>
  <c r="K68" i="147"/>
  <c r="K64" i="147"/>
  <c r="E60" i="147" s="1"/>
  <c r="K63" i="147"/>
  <c r="K58" i="147"/>
  <c r="E54" i="147" s="1"/>
  <c r="K57" i="147"/>
  <c r="K51" i="147"/>
  <c r="E47" i="147" s="1"/>
  <c r="K50" i="147"/>
  <c r="K45" i="147"/>
  <c r="E41" i="147" s="1"/>
  <c r="K44" i="147"/>
  <c r="K39" i="147"/>
  <c r="K34" i="147"/>
  <c r="K26" i="147"/>
  <c r="K19" i="147"/>
  <c r="K14" i="147"/>
  <c r="I48" i="105"/>
  <c r="I13" i="105"/>
  <c r="I976" i="105"/>
  <c r="I986" i="105"/>
  <c r="I109" i="105"/>
  <c r="I108" i="105"/>
  <c r="I230" i="105"/>
  <c r="I229" i="105"/>
  <c r="I957" i="105"/>
  <c r="I987" i="105"/>
  <c r="I982" i="105"/>
  <c r="I977" i="105"/>
  <c r="I981" i="105"/>
  <c r="I971" i="105"/>
  <c r="I967" i="105"/>
  <c r="I962" i="105"/>
  <c r="I966" i="105"/>
  <c r="I961" i="105"/>
  <c r="I956" i="105"/>
  <c r="I952" i="105"/>
  <c r="I947" i="105"/>
  <c r="I942" i="105"/>
  <c r="I937" i="105"/>
  <c r="I951" i="105"/>
  <c r="I946" i="105"/>
  <c r="I941" i="105"/>
  <c r="I936" i="105"/>
  <c r="I932" i="105"/>
  <c r="I931" i="105"/>
  <c r="I926" i="105"/>
  <c r="I910" i="105"/>
  <c r="I899" i="105"/>
  <c r="I893" i="105"/>
  <c r="I925" i="105"/>
  <c r="I909" i="105"/>
  <c r="I898" i="105"/>
  <c r="I892" i="105"/>
  <c r="I885" i="105"/>
  <c r="I874" i="105"/>
  <c r="I868" i="105"/>
  <c r="I884" i="105"/>
  <c r="I873" i="105"/>
  <c r="I861" i="105"/>
  <c r="I860" i="105"/>
  <c r="I850" i="105"/>
  <c r="I845" i="105"/>
  <c r="I836" i="105"/>
  <c r="I825" i="105"/>
  <c r="I819" i="105"/>
  <c r="I808" i="105"/>
  <c r="I791" i="105"/>
  <c r="I786" i="105"/>
  <c r="I776" i="105"/>
  <c r="I765" i="105"/>
  <c r="I840" i="105"/>
  <c r="I835" i="105"/>
  <c r="I830" i="105"/>
  <c r="I824" i="105"/>
  <c r="I818" i="105"/>
  <c r="I812" i="105"/>
  <c r="I807" i="105"/>
  <c r="I790" i="105"/>
  <c r="I785" i="105"/>
  <c r="I780" i="105"/>
  <c r="I775" i="105"/>
  <c r="I769" i="105"/>
  <c r="I764" i="105"/>
  <c r="I759" i="105"/>
  <c r="N729" i="105"/>
  <c r="I755" i="105"/>
  <c r="I750" i="105"/>
  <c r="I745" i="105"/>
  <c r="I740" i="105"/>
  <c r="I735" i="105"/>
  <c r="I754" i="105"/>
  <c r="I749" i="105"/>
  <c r="I744" i="105"/>
  <c r="I739" i="105"/>
  <c r="I734" i="105"/>
  <c r="I725" i="105"/>
  <c r="I700" i="105"/>
  <c r="I655" i="105"/>
  <c r="I724" i="105"/>
  <c r="I719" i="105"/>
  <c r="I714" i="105"/>
  <c r="I709" i="105"/>
  <c r="I704" i="105"/>
  <c r="I699" i="105"/>
  <c r="I694" i="105"/>
  <c r="I689" i="105"/>
  <c r="I684" i="105"/>
  <c r="I679" i="105"/>
  <c r="I674" i="105"/>
  <c r="I669" i="105"/>
  <c r="I664" i="105"/>
  <c r="I659" i="105"/>
  <c r="I654" i="105"/>
  <c r="I648" i="105"/>
  <c r="I644" i="105"/>
  <c r="I639" i="105"/>
  <c r="I643" i="105"/>
  <c r="I638" i="105"/>
  <c r="I633" i="105"/>
  <c r="I628" i="105"/>
  <c r="I623" i="105"/>
  <c r="I618" i="105"/>
  <c r="I613" i="105"/>
  <c r="I632" i="105"/>
  <c r="I627" i="105"/>
  <c r="I622" i="105"/>
  <c r="I617" i="105"/>
  <c r="I612" i="105"/>
  <c r="I607" i="105"/>
  <c r="I602" i="105"/>
  <c r="I597" i="105"/>
  <c r="I606" i="105"/>
  <c r="I601" i="105"/>
  <c r="I596" i="105"/>
  <c r="I591" i="105"/>
  <c r="I586" i="105"/>
  <c r="I571" i="105"/>
  <c r="I561" i="105"/>
  <c r="I585" i="105"/>
  <c r="I580" i="105"/>
  <c r="I575" i="105"/>
  <c r="I570" i="105"/>
  <c r="I565" i="105"/>
  <c r="I560" i="105"/>
  <c r="I550" i="105"/>
  <c r="I531" i="105"/>
  <c r="I526" i="105"/>
  <c r="I521" i="105"/>
  <c r="I516" i="105"/>
  <c r="I511" i="105"/>
  <c r="I496" i="105"/>
  <c r="I490" i="105"/>
  <c r="I554" i="105"/>
  <c r="I549" i="105"/>
  <c r="I544" i="105"/>
  <c r="I539" i="105"/>
  <c r="I530" i="105"/>
  <c r="I525" i="105"/>
  <c r="I520" i="105"/>
  <c r="I515" i="105"/>
  <c r="I510" i="105"/>
  <c r="I505" i="105"/>
  <c r="I500" i="105"/>
  <c r="I495" i="105"/>
  <c r="I476" i="105"/>
  <c r="I471" i="105"/>
  <c r="I465" i="105"/>
  <c r="I459" i="105"/>
  <c r="I453" i="105"/>
  <c r="I447" i="105"/>
  <c r="I442" i="105"/>
  <c r="I437" i="105"/>
  <c r="I422" i="105"/>
  <c r="I485" i="105"/>
  <c r="I480" i="105"/>
  <c r="I475" i="105"/>
  <c r="I470" i="105"/>
  <c r="I464" i="105"/>
  <c r="I458" i="105"/>
  <c r="I451" i="105"/>
  <c r="I446" i="105"/>
  <c r="I441" i="105"/>
  <c r="I436" i="105"/>
  <c r="I431" i="105"/>
  <c r="I426" i="105"/>
  <c r="I421" i="105"/>
  <c r="K369" i="105"/>
  <c r="L369" i="105"/>
  <c r="M369" i="105"/>
  <c r="N369" i="105"/>
  <c r="N370" i="105" s="1"/>
  <c r="J369" i="105"/>
  <c r="J1019" i="105" s="1"/>
  <c r="I416" i="105"/>
  <c r="I406" i="105"/>
  <c r="I401" i="105"/>
  <c r="I391" i="105"/>
  <c r="I386" i="105"/>
  <c r="I381" i="105"/>
  <c r="I415" i="105"/>
  <c r="I410" i="105"/>
  <c r="I405" i="105"/>
  <c r="I400" i="105"/>
  <c r="I395" i="105"/>
  <c r="I390" i="105"/>
  <c r="I385" i="105"/>
  <c r="I380" i="105"/>
  <c r="I374" i="105"/>
  <c r="I365" i="105"/>
  <c r="I360" i="105"/>
  <c r="I364" i="105"/>
  <c r="I359" i="105"/>
  <c r="I355" i="105"/>
  <c r="I354" i="105"/>
  <c r="K321" i="105"/>
  <c r="K1029" i="105" s="1"/>
  <c r="L321" i="105"/>
  <c r="M321" i="105"/>
  <c r="M1029" i="105" s="1"/>
  <c r="N321" i="105"/>
  <c r="I339" i="105"/>
  <c r="I350" i="105"/>
  <c r="I345" i="105"/>
  <c r="I329" i="105"/>
  <c r="I349" i="105"/>
  <c r="I344" i="105"/>
  <c r="I338" i="105"/>
  <c r="I333" i="105"/>
  <c r="I328" i="105"/>
  <c r="K291" i="105"/>
  <c r="K292" i="105" s="1"/>
  <c r="L291" i="105"/>
  <c r="L292" i="105" s="1"/>
  <c r="M291" i="105"/>
  <c r="M292" i="105" s="1"/>
  <c r="N291" i="105"/>
  <c r="N292" i="105" s="1"/>
  <c r="J291" i="105"/>
  <c r="J1029" i="105" s="1"/>
  <c r="I317" i="105"/>
  <c r="I312" i="105"/>
  <c r="I307" i="105"/>
  <c r="I297" i="105"/>
  <c r="I316" i="105"/>
  <c r="I311" i="105"/>
  <c r="I306" i="105"/>
  <c r="I301" i="105"/>
  <c r="I296" i="105"/>
  <c r="I267" i="105"/>
  <c r="I256" i="105"/>
  <c r="I251" i="105"/>
  <c r="I245" i="105"/>
  <c r="I240" i="105"/>
  <c r="I235" i="105"/>
  <c r="I286" i="105"/>
  <c r="I281" i="105"/>
  <c r="I276" i="105"/>
  <c r="I271" i="105"/>
  <c r="I266" i="105"/>
  <c r="I261" i="105"/>
  <c r="I255" i="105"/>
  <c r="I250" i="105"/>
  <c r="I244" i="105"/>
  <c r="I239" i="105"/>
  <c r="I234" i="105"/>
  <c r="I225" i="105"/>
  <c r="I220" i="105"/>
  <c r="I215" i="105"/>
  <c r="I210" i="105"/>
  <c r="I205" i="105"/>
  <c r="I200" i="105"/>
  <c r="I195" i="105"/>
  <c r="K189" i="105"/>
  <c r="L189" i="105"/>
  <c r="M189" i="105"/>
  <c r="N189" i="105"/>
  <c r="N190" i="105" s="1"/>
  <c r="I224" i="105"/>
  <c r="I219" i="105"/>
  <c r="I214" i="105"/>
  <c r="I209" i="105"/>
  <c r="I204" i="105"/>
  <c r="I199" i="105"/>
  <c r="I194" i="105"/>
  <c r="I184" i="105"/>
  <c r="I179" i="105"/>
  <c r="I174" i="105"/>
  <c r="I183" i="105"/>
  <c r="I178" i="105"/>
  <c r="I173" i="105"/>
  <c r="I152" i="105"/>
  <c r="I139" i="105"/>
  <c r="I134" i="105"/>
  <c r="I158" i="105"/>
  <c r="I151" i="105"/>
  <c r="I138" i="105"/>
  <c r="I133" i="105"/>
  <c r="I123" i="105"/>
  <c r="I118" i="105"/>
  <c r="I113" i="105"/>
  <c r="I100" i="105"/>
  <c r="I95" i="105"/>
  <c r="I90" i="105"/>
  <c r="I85" i="105"/>
  <c r="I80" i="105"/>
  <c r="I74" i="105"/>
  <c r="I69" i="105"/>
  <c r="I64" i="105"/>
  <c r="I59" i="105"/>
  <c r="I54" i="105"/>
  <c r="I94" i="105"/>
  <c r="I89" i="105"/>
  <c r="I84" i="105"/>
  <c r="I79" i="105"/>
  <c r="I73" i="105"/>
  <c r="I68" i="105"/>
  <c r="I63" i="105"/>
  <c r="I58" i="105"/>
  <c r="I53" i="105"/>
  <c r="I49" i="105"/>
  <c r="J41" i="105"/>
  <c r="I39" i="105"/>
  <c r="I38" i="105"/>
  <c r="I33" i="105"/>
  <c r="I28" i="105"/>
  <c r="I23" i="105"/>
  <c r="I19" i="105"/>
  <c r="I18" i="105"/>
  <c r="K152" i="185"/>
  <c r="L244" i="182"/>
  <c r="L245" i="182" s="1"/>
  <c r="M244" i="182"/>
  <c r="M245" i="182" s="1"/>
  <c r="N244" i="182"/>
  <c r="N245" i="182" s="1"/>
  <c r="P244" i="182"/>
  <c r="P245" i="182" s="1"/>
  <c r="K244" i="182"/>
  <c r="K245" i="182" s="1"/>
  <c r="J196" i="182"/>
  <c r="J191" i="182"/>
  <c r="J186" i="182"/>
  <c r="J181" i="182"/>
  <c r="J176" i="182"/>
  <c r="J171" i="182"/>
  <c r="J166" i="182"/>
  <c r="J160" i="182"/>
  <c r="J149" i="182"/>
  <c r="J137" i="182"/>
  <c r="J130" i="182"/>
  <c r="J122" i="182"/>
  <c r="J113" i="182"/>
  <c r="J107" i="182"/>
  <c r="J96" i="182"/>
  <c r="J87" i="182"/>
  <c r="J86" i="182"/>
  <c r="J79" i="182"/>
  <c r="J73" i="182"/>
  <c r="J66" i="182"/>
  <c r="J53" i="182"/>
  <c r="J45" i="182"/>
  <c r="J37" i="182"/>
  <c r="J28" i="182"/>
  <c r="J22" i="182"/>
  <c r="J14" i="182"/>
  <c r="M1019" i="105" l="1"/>
  <c r="K1019" i="105"/>
  <c r="L1019" i="105"/>
  <c r="L1020" i="105" s="1"/>
  <c r="L1029" i="105"/>
  <c r="L1030" i="105" s="1"/>
  <c r="N1019" i="105"/>
  <c r="N1020" i="105" s="1"/>
  <c r="N1029" i="105"/>
  <c r="N1030" i="105" s="1"/>
  <c r="K1030" i="105"/>
  <c r="M1020" i="105"/>
  <c r="M1030" i="105"/>
  <c r="J1020" i="105"/>
  <c r="K1020" i="105"/>
  <c r="J292" i="105"/>
  <c r="J1030" i="105"/>
  <c r="N1024" i="105"/>
  <c r="M322" i="105"/>
  <c r="J370" i="105"/>
  <c r="K370" i="105"/>
  <c r="L370" i="105"/>
  <c r="L322" i="105"/>
  <c r="N322" i="105"/>
  <c r="J322" i="105"/>
  <c r="K322" i="105"/>
  <c r="N730" i="105"/>
  <c r="M370" i="105"/>
  <c r="P170" i="144"/>
  <c r="P30" i="144"/>
  <c r="E26" i="144" s="1"/>
  <c r="K109" i="147"/>
  <c r="K35" i="115"/>
  <c r="L35" i="115" s="1"/>
  <c r="L545" i="134"/>
  <c r="I729" i="105"/>
  <c r="J197" i="182"/>
  <c r="Q244" i="182"/>
  <c r="Q245" i="182" s="1"/>
  <c r="J238" i="182"/>
  <c r="R244" i="182"/>
  <c r="R245" i="182" s="1"/>
  <c r="O244" i="182"/>
  <c r="O245" i="182" s="1"/>
  <c r="K153" i="185"/>
  <c r="K157" i="185" s="1"/>
  <c r="L157" i="185" s="1"/>
  <c r="L138" i="185"/>
  <c r="L152" i="185"/>
  <c r="L186" i="134"/>
  <c r="E182" i="134" s="1"/>
  <c r="L201" i="134"/>
  <c r="E197" i="134" s="1"/>
  <c r="L206" i="134"/>
  <c r="E202" i="134" s="1"/>
  <c r="L153" i="134"/>
  <c r="E149" i="134" s="1"/>
  <c r="L45" i="134"/>
  <c r="L58" i="134"/>
  <c r="E54" i="134" s="1"/>
  <c r="L68" i="134"/>
  <c r="P90" i="144"/>
  <c r="P80" i="144"/>
  <c r="P45" i="144"/>
  <c r="E41" i="144" s="1"/>
  <c r="P35" i="144"/>
  <c r="E31" i="144" s="1"/>
  <c r="P25" i="144"/>
  <c r="P20" i="144"/>
  <c r="I427" i="105"/>
  <c r="I432" i="105"/>
  <c r="I369" i="105"/>
  <c r="I334" i="105"/>
  <c r="I321" i="105"/>
  <c r="I291" i="105"/>
  <c r="I189" i="105"/>
  <c r="I128" i="105"/>
  <c r="I43" i="105"/>
  <c r="I24" i="105"/>
  <c r="J177" i="182"/>
  <c r="J161" i="182"/>
  <c r="J221" i="182"/>
  <c r="J192" i="182"/>
  <c r="J187" i="182"/>
  <c r="J182" i="182"/>
  <c r="J172" i="182"/>
  <c r="J167" i="182"/>
  <c r="P154" i="182"/>
  <c r="P155" i="182" s="1"/>
  <c r="L154" i="182"/>
  <c r="O154" i="182"/>
  <c r="R154" i="182"/>
  <c r="N154" i="182"/>
  <c r="J150" i="182"/>
  <c r="Q154" i="182"/>
  <c r="J144" i="182"/>
  <c r="J102" i="182"/>
  <c r="J109" i="182"/>
  <c r="J117" i="182"/>
  <c r="J123" i="182"/>
  <c r="J133" i="182"/>
  <c r="J61" i="182"/>
  <c r="J69" i="182"/>
  <c r="J75" i="182"/>
  <c r="J48" i="182"/>
  <c r="J57" i="182"/>
  <c r="J40" i="182"/>
  <c r="J32" i="182"/>
  <c r="J23" i="182"/>
  <c r="O29" i="109"/>
  <c r="O26" i="109"/>
  <c r="K42" i="115"/>
  <c r="K38" i="115"/>
  <c r="L38" i="115"/>
  <c r="K17" i="115"/>
  <c r="K70" i="113"/>
  <c r="L70" i="113"/>
  <c r="H25" i="109"/>
  <c r="K65" i="113"/>
  <c r="K61" i="113"/>
  <c r="K55" i="113"/>
  <c r="L55" i="113"/>
  <c r="I55" i="113"/>
  <c r="L50" i="113"/>
  <c r="K50" i="113"/>
  <c r="K46" i="113"/>
  <c r="I46" i="113"/>
  <c r="K35" i="113"/>
  <c r="K24" i="113"/>
  <c r="K23" i="113" s="1"/>
  <c r="K11" i="113"/>
  <c r="K10" i="113" s="1"/>
  <c r="I163" i="181"/>
  <c r="I153" i="181"/>
  <c r="I142" i="181"/>
  <c r="I134" i="181"/>
  <c r="I126" i="181"/>
  <c r="I116" i="181"/>
  <c r="I110" i="181"/>
  <c r="I99" i="181"/>
  <c r="K158" i="181"/>
  <c r="K169" i="181" s="1"/>
  <c r="M158" i="181"/>
  <c r="M169" i="181" s="1"/>
  <c r="O158" i="181"/>
  <c r="O169" i="181" s="1"/>
  <c r="J158" i="181"/>
  <c r="I87" i="181"/>
  <c r="I80" i="181"/>
  <c r="I70" i="181"/>
  <c r="I57" i="181"/>
  <c r="I48" i="181"/>
  <c r="I40" i="181"/>
  <c r="I30" i="181"/>
  <c r="I23" i="181"/>
  <c r="I14" i="181"/>
  <c r="J169" i="181" l="1"/>
  <c r="I1024" i="105"/>
  <c r="N1025" i="105"/>
  <c r="N226" i="182"/>
  <c r="N227" i="182" s="1"/>
  <c r="N155" i="182"/>
  <c r="M226" i="182"/>
  <c r="M227" i="182" s="1"/>
  <c r="M155" i="182"/>
  <c r="Q226" i="182"/>
  <c r="Q155" i="182"/>
  <c r="O226" i="182"/>
  <c r="O227" i="182" s="1"/>
  <c r="O155" i="182"/>
  <c r="R226" i="182"/>
  <c r="R227" i="182" s="1"/>
  <c r="R155" i="182"/>
  <c r="L226" i="182"/>
  <c r="L155" i="182"/>
  <c r="J170" i="181"/>
  <c r="J159" i="181"/>
  <c r="O170" i="181"/>
  <c r="O159" i="181"/>
  <c r="M170" i="181"/>
  <c r="M159" i="181"/>
  <c r="K170" i="181"/>
  <c r="K159" i="181"/>
  <c r="L35" i="113"/>
  <c r="H11" i="109" s="1"/>
  <c r="K60" i="113"/>
  <c r="K59" i="113" s="1"/>
  <c r="O20" i="109"/>
  <c r="K45" i="113"/>
  <c r="K9" i="113"/>
  <c r="L46" i="113"/>
  <c r="L45" i="113" s="1"/>
  <c r="H18" i="109"/>
  <c r="P171" i="144"/>
  <c r="O30" i="109"/>
  <c r="L42" i="115"/>
  <c r="K36" i="115"/>
  <c r="I1019" i="105"/>
  <c r="K16" i="115" s="1"/>
  <c r="L16" i="115" s="1"/>
  <c r="I1029" i="105"/>
  <c r="I144" i="181"/>
  <c r="J244" i="182"/>
  <c r="L158" i="181"/>
  <c r="L169" i="181" s="1"/>
  <c r="I61" i="181"/>
  <c r="I90" i="181"/>
  <c r="I112" i="181"/>
  <c r="Q158" i="181"/>
  <c r="Q169" i="181" s="1"/>
  <c r="N158" i="181"/>
  <c r="N169" i="181" s="1"/>
  <c r="R158" i="181"/>
  <c r="R169" i="181" s="1"/>
  <c r="I105" i="181"/>
  <c r="P158" i="181"/>
  <c r="P169" i="181" s="1"/>
  <c r="J232" i="182"/>
  <c r="P226" i="182"/>
  <c r="L153" i="185"/>
  <c r="J154" i="182"/>
  <c r="L23" i="113"/>
  <c r="I165" i="181"/>
  <c r="I148" i="181"/>
  <c r="I154" i="181"/>
  <c r="I138" i="181"/>
  <c r="I127" i="181"/>
  <c r="I65" i="181"/>
  <c r="I35" i="181"/>
  <c r="I94" i="181"/>
  <c r="I83" i="181"/>
  <c r="I52" i="181"/>
  <c r="I169" i="181" l="1"/>
  <c r="Q227" i="182"/>
  <c r="K14" i="115"/>
  <c r="L14" i="115" s="1"/>
  <c r="K34" i="115"/>
  <c r="K15" i="115" s="1"/>
  <c r="L36" i="115"/>
  <c r="K10" i="115"/>
  <c r="L10" i="115" s="1"/>
  <c r="L227" i="182"/>
  <c r="K12" i="115"/>
  <c r="P227" i="182"/>
  <c r="R170" i="181"/>
  <c r="R159" i="181"/>
  <c r="N170" i="181"/>
  <c r="N159" i="181"/>
  <c r="P170" i="181"/>
  <c r="P159" i="181"/>
  <c r="Q170" i="181"/>
  <c r="Q159" i="181"/>
  <c r="L170" i="181"/>
  <c r="L159" i="181"/>
  <c r="K57" i="113"/>
  <c r="K75" i="113" s="1"/>
  <c r="H21" i="109"/>
  <c r="H10" i="109"/>
  <c r="I158" i="181"/>
  <c r="J226" i="182"/>
  <c r="K168" i="144"/>
  <c r="I168" i="144"/>
  <c r="I548" i="134"/>
  <c r="I543" i="134"/>
  <c r="J437" i="134"/>
  <c r="J432" i="134"/>
  <c r="L435" i="134" s="1"/>
  <c r="E431" i="134" s="1"/>
  <c r="L12" i="115" l="1"/>
  <c r="L11" i="115" s="1"/>
  <c r="L9" i="115" s="1"/>
  <c r="K11" i="115"/>
  <c r="K9" i="115" s="1"/>
  <c r="K41" i="115" s="1"/>
  <c r="K58" i="113" s="1"/>
  <c r="L437" i="134"/>
  <c r="L440" i="134"/>
  <c r="E436" i="134" s="1"/>
  <c r="L111" i="105"/>
  <c r="L284" i="105"/>
  <c r="I287" i="105" s="1"/>
  <c r="K49" i="115" l="1"/>
  <c r="I114" i="105"/>
  <c r="H49" i="113"/>
  <c r="H54" i="113"/>
  <c r="G25" i="109" l="1"/>
  <c r="N29" i="109"/>
  <c r="N26" i="109"/>
  <c r="I42" i="115"/>
  <c r="H42" i="115"/>
  <c r="G42" i="115"/>
  <c r="F42" i="115"/>
  <c r="I70" i="113"/>
  <c r="H70" i="113"/>
  <c r="G70" i="113"/>
  <c r="F70" i="113"/>
  <c r="L30" i="109"/>
  <c r="I64" i="113"/>
  <c r="J168" i="144"/>
  <c r="L168" i="144"/>
  <c r="M168" i="144"/>
  <c r="N168" i="144"/>
  <c r="P97" i="144"/>
  <c r="P102" i="144"/>
  <c r="P92" i="144"/>
  <c r="P87" i="144"/>
  <c r="P82" i="144"/>
  <c r="P77" i="144"/>
  <c r="F86" i="144"/>
  <c r="E86" i="144" s="1"/>
  <c r="F81" i="144"/>
  <c r="E81" i="144" s="1"/>
  <c r="F76" i="144"/>
  <c r="E76" i="144" s="1"/>
  <c r="P168" i="144" l="1"/>
  <c r="I152" i="185"/>
  <c r="H152" i="185"/>
  <c r="F152" i="185"/>
  <c r="I138" i="185"/>
  <c r="H138" i="185"/>
  <c r="G138" i="185"/>
  <c r="F138" i="185"/>
  <c r="G153" i="185" l="1"/>
  <c r="H153" i="185"/>
  <c r="F153" i="185"/>
  <c r="I153" i="185"/>
  <c r="I979" i="105" l="1"/>
  <c r="N259" i="105"/>
  <c r="I262" i="105" s="1"/>
  <c r="N589" i="105"/>
  <c r="I592" i="105" s="1"/>
  <c r="I41" i="113"/>
  <c r="H12" i="109" s="1"/>
  <c r="R219" i="182"/>
  <c r="Q219" i="182"/>
  <c r="P219" i="182"/>
  <c r="O219" i="182"/>
  <c r="N219" i="182"/>
  <c r="M219" i="182"/>
  <c r="L219" i="182"/>
  <c r="K219" i="182"/>
  <c r="J222" i="182" l="1"/>
  <c r="I218" i="182"/>
  <c r="H218" i="182"/>
  <c r="G218" i="182"/>
  <c r="J194" i="182"/>
  <c r="J189" i="182"/>
  <c r="J146" i="181"/>
  <c r="I63" i="113"/>
  <c r="I62" i="113"/>
  <c r="L498" i="105"/>
  <c r="I501" i="105" s="1"/>
  <c r="L61" i="113" l="1"/>
  <c r="H24" i="109" s="1"/>
  <c r="K488" i="105"/>
  <c r="J488" i="105"/>
  <c r="L488" i="105"/>
  <c r="I491" i="105" l="1"/>
  <c r="J102" i="147"/>
  <c r="K367" i="105" l="1"/>
  <c r="L367" i="105"/>
  <c r="N367" i="105"/>
  <c r="J367" i="105"/>
  <c r="E288" i="105" l="1"/>
  <c r="E186" i="105"/>
  <c r="E125" i="105"/>
  <c r="K41" i="105" l="1"/>
  <c r="L41" i="105"/>
  <c r="M41" i="105"/>
  <c r="N41" i="105"/>
  <c r="I44" i="105" l="1"/>
  <c r="I974" i="105"/>
  <c r="I68" i="113"/>
  <c r="L65" i="113" s="1"/>
  <c r="H28" i="109" l="1"/>
  <c r="L60" i="113"/>
  <c r="L59" i="113" s="1"/>
  <c r="H36" i="109" l="1"/>
  <c r="H30" i="109"/>
  <c r="L208" i="134" l="1"/>
  <c r="N828" i="105"/>
  <c r="I831" i="105" l="1"/>
  <c r="I14" i="113"/>
  <c r="L11" i="113" s="1"/>
  <c r="L10" i="113" s="1"/>
  <c r="L9" i="113" s="1"/>
  <c r="H9" i="109" l="1"/>
  <c r="H15" i="109" s="1"/>
  <c r="L57" i="113"/>
  <c r="L75" i="113" s="1"/>
  <c r="L646" i="105"/>
  <c r="I649" i="105" s="1"/>
  <c r="L483" i="105"/>
  <c r="I486" i="105" s="1"/>
  <c r="L687" i="105"/>
  <c r="I690" i="105" s="1"/>
  <c r="L269" i="105"/>
  <c r="I272" i="105" s="1"/>
  <c r="H22" i="109" l="1"/>
  <c r="H31" i="109" s="1"/>
  <c r="H39" i="109" s="1"/>
  <c r="K126" i="105"/>
  <c r="L126" i="105"/>
  <c r="M126" i="105"/>
  <c r="J126" i="105"/>
  <c r="L717" i="105"/>
  <c r="I720" i="105" s="1"/>
  <c r="I934" i="105"/>
  <c r="I929" i="105"/>
  <c r="I923" i="105"/>
  <c r="I896" i="105"/>
  <c r="I964" i="105"/>
  <c r="I890" i="105"/>
  <c r="I822" i="105"/>
  <c r="I959" i="105"/>
  <c r="I954" i="105"/>
  <c r="I949" i="105"/>
  <c r="H38" i="109" l="1"/>
  <c r="I944" i="105"/>
  <c r="I939" i="105" l="1"/>
  <c r="I805" i="105"/>
  <c r="I907" i="105"/>
  <c r="L848" i="105" l="1"/>
  <c r="I851" i="105" s="1"/>
  <c r="L866" i="105"/>
  <c r="I869" i="105" s="1"/>
  <c r="L838" i="105"/>
  <c r="I841" i="105" s="1"/>
  <c r="L712" i="105"/>
  <c r="I715" i="105" s="1"/>
  <c r="L707" i="105"/>
  <c r="I710" i="105" s="1"/>
  <c r="L702" i="105"/>
  <c r="I705" i="105" s="1"/>
  <c r="L692" i="105"/>
  <c r="I695" i="105" s="1"/>
  <c r="L682" i="105"/>
  <c r="I685" i="105" s="1"/>
  <c r="L677" i="105"/>
  <c r="I680" i="105" s="1"/>
  <c r="L672" i="105"/>
  <c r="I675" i="105" s="1"/>
  <c r="L667" i="105"/>
  <c r="I670" i="105" s="1"/>
  <c r="L662" i="105"/>
  <c r="I665" i="105" s="1"/>
  <c r="L657" i="105"/>
  <c r="I660" i="105" s="1"/>
  <c r="L969" i="105"/>
  <c r="L578" i="105"/>
  <c r="I581" i="105" s="1"/>
  <c r="L573" i="105"/>
  <c r="I576" i="105" s="1"/>
  <c r="J563" i="105"/>
  <c r="L563" i="105"/>
  <c r="K563" i="105"/>
  <c r="L552" i="105"/>
  <c r="I555" i="105" s="1"/>
  <c r="L542" i="105"/>
  <c r="I545" i="105" s="1"/>
  <c r="L537" i="105"/>
  <c r="I540" i="105" s="1"/>
  <c r="I882" i="105"/>
  <c r="L503" i="105"/>
  <c r="I506" i="105" s="1"/>
  <c r="L478" i="105"/>
  <c r="I481" i="105" s="1"/>
  <c r="I972" i="105" l="1"/>
  <c r="J1022" i="105"/>
  <c r="K1022" i="105"/>
  <c r="I969" i="105"/>
  <c r="M408" i="105"/>
  <c r="I411" i="105" s="1"/>
  <c r="M372" i="105"/>
  <c r="M393" i="105"/>
  <c r="I396" i="105" s="1"/>
  <c r="I347" i="105"/>
  <c r="I342" i="105"/>
  <c r="N299" i="105"/>
  <c r="I302" i="105" s="1"/>
  <c r="L279" i="105"/>
  <c r="I282" i="105" s="1"/>
  <c r="L274" i="105"/>
  <c r="I277" i="105" s="1"/>
  <c r="I253" i="105"/>
  <c r="I242" i="105"/>
  <c r="K187" i="105"/>
  <c r="K190" i="105" s="1"/>
  <c r="L187" i="105"/>
  <c r="L190" i="105" s="1"/>
  <c r="M187" i="105"/>
  <c r="M190" i="105" s="1"/>
  <c r="N187" i="105"/>
  <c r="J190" i="105"/>
  <c r="I222" i="105"/>
  <c r="L121" i="105"/>
  <c r="L116" i="105"/>
  <c r="I119" i="105" s="1"/>
  <c r="I82" i="105"/>
  <c r="I77" i="105"/>
  <c r="L31" i="105"/>
  <c r="K31" i="105"/>
  <c r="J31" i="105"/>
  <c r="K26" i="105"/>
  <c r="J26" i="105"/>
  <c r="L11" i="105"/>
  <c r="I14" i="105" s="1"/>
  <c r="G40" i="105"/>
  <c r="F40" i="105"/>
  <c r="F366" i="105"/>
  <c r="F288" i="105"/>
  <c r="F186" i="105"/>
  <c r="G125" i="105"/>
  <c r="F125" i="105"/>
  <c r="I124" i="105" l="1"/>
  <c r="I566" i="105"/>
  <c r="M1022" i="105"/>
  <c r="I375" i="105"/>
  <c r="I322" i="105"/>
  <c r="I190" i="105"/>
  <c r="I29" i="105"/>
  <c r="I34" i="105"/>
  <c r="L1022" i="105"/>
  <c r="M367" i="105"/>
  <c r="K66" i="134"/>
  <c r="K538" i="134" s="1"/>
  <c r="J66" i="134"/>
  <c r="K543" i="134"/>
  <c r="L447" i="134"/>
  <c r="L442" i="134"/>
  <c r="L432" i="134"/>
  <c r="L427" i="134"/>
  <c r="I370" i="105" l="1"/>
  <c r="K548" i="134"/>
  <c r="L69" i="134"/>
  <c r="E65" i="134" s="1"/>
  <c r="L422" i="134"/>
  <c r="L417" i="134"/>
  <c r="L412" i="134"/>
  <c r="L407" i="134"/>
  <c r="L402" i="134"/>
  <c r="L397" i="134"/>
  <c r="L392" i="134"/>
  <c r="L387" i="134"/>
  <c r="L382" i="134"/>
  <c r="L377" i="134"/>
  <c r="L372" i="134"/>
  <c r="L367" i="134"/>
  <c r="L362" i="134"/>
  <c r="L357" i="134"/>
  <c r="L352" i="134"/>
  <c r="L347" i="134"/>
  <c r="L342" i="134"/>
  <c r="L337" i="134"/>
  <c r="L332" i="134"/>
  <c r="L327" i="134"/>
  <c r="L318" i="134"/>
  <c r="L313" i="134"/>
  <c r="L308" i="134"/>
  <c r="L303" i="134"/>
  <c r="L298" i="134"/>
  <c r="L293" i="134"/>
  <c r="L288" i="134"/>
  <c r="L111" i="134"/>
  <c r="L106" i="134"/>
  <c r="L101" i="134"/>
  <c r="L96" i="134"/>
  <c r="L91" i="134"/>
  <c r="J223" i="134" l="1"/>
  <c r="F53" i="134"/>
  <c r="E53" i="134" s="1"/>
  <c r="F52" i="134"/>
  <c r="E52" i="134" s="1"/>
  <c r="J47" i="134"/>
  <c r="F46" i="134"/>
  <c r="F41" i="134"/>
  <c r="L27" i="134"/>
  <c r="J12" i="134"/>
  <c r="F11" i="134"/>
  <c r="L15" i="134" l="1"/>
  <c r="E11" i="134" s="1"/>
  <c r="J543" i="134"/>
  <c r="E46" i="134"/>
  <c r="L226" i="134"/>
  <c r="E222" i="134" s="1"/>
  <c r="J538" i="134"/>
  <c r="L541" i="134" s="1"/>
  <c r="L546" i="134"/>
  <c r="J548" i="134"/>
  <c r="L551" i="134" s="1"/>
  <c r="E28" i="147"/>
  <c r="J107" i="147"/>
  <c r="K32" i="147"/>
  <c r="I107" i="147"/>
  <c r="I110" i="147" s="1"/>
  <c r="E30" i="147"/>
  <c r="E29" i="147"/>
  <c r="E21" i="147"/>
  <c r="K88" i="147"/>
  <c r="K110" i="147" l="1"/>
  <c r="I35" i="115"/>
  <c r="O17" i="109" s="1"/>
  <c r="P42" i="144"/>
  <c r="G21" i="144"/>
  <c r="E21" i="144" s="1"/>
  <c r="G16" i="144"/>
  <c r="E16" i="144" s="1"/>
  <c r="P37" i="144" l="1"/>
  <c r="P32" i="144"/>
  <c r="P27" i="144"/>
  <c r="P22" i="144"/>
  <c r="P17" i="144"/>
  <c r="K107" i="147" l="1"/>
  <c r="F21" i="109"/>
  <c r="E21" i="109"/>
  <c r="F15" i="109"/>
  <c r="E15" i="109"/>
  <c r="M30" i="109"/>
  <c r="M21" i="109"/>
  <c r="L21" i="109"/>
  <c r="M15" i="109"/>
  <c r="L15" i="109"/>
  <c r="I984" i="105"/>
  <c r="F33" i="109" l="1"/>
  <c r="E34" i="109"/>
  <c r="F34" i="109"/>
  <c r="E33" i="109"/>
  <c r="L22" i="109"/>
  <c r="L31" i="109" s="1"/>
  <c r="L39" i="109" s="1"/>
  <c r="M22" i="109"/>
  <c r="E22" i="109"/>
  <c r="F22" i="109"/>
  <c r="M31" i="109" l="1"/>
  <c r="M39" i="109" s="1"/>
  <c r="F32" i="109"/>
  <c r="F35" i="109" s="1"/>
  <c r="E32" i="109"/>
  <c r="E35" i="109" s="1"/>
  <c r="L38" i="109"/>
  <c r="J184" i="182"/>
  <c r="J179" i="182"/>
  <c r="J174" i="182"/>
  <c r="J169" i="182"/>
  <c r="J164" i="182"/>
  <c r="J158" i="182"/>
  <c r="M38" i="109" l="1"/>
  <c r="G288" i="105"/>
  <c r="G186" i="105"/>
  <c r="E40" i="105"/>
  <c r="M538" i="134" l="1"/>
  <c r="L71" i="134" l="1"/>
  <c r="L213" i="134"/>
  <c r="L203" i="134"/>
  <c r="L198" i="134"/>
  <c r="L193" i="134"/>
  <c r="L188" i="134"/>
  <c r="L183" i="134"/>
  <c r="L178" i="134"/>
  <c r="L173" i="134"/>
  <c r="L168" i="134"/>
  <c r="L163" i="134"/>
  <c r="L86" i="134"/>
  <c r="L283" i="134"/>
  <c r="L278" i="134"/>
  <c r="L273" i="134"/>
  <c r="L268" i="134"/>
  <c r="L263" i="134"/>
  <c r="L258" i="134"/>
  <c r="L253" i="134"/>
  <c r="L248" i="134"/>
  <c r="L243" i="134"/>
  <c r="L238" i="134"/>
  <c r="L233" i="134"/>
  <c r="L228" i="134"/>
  <c r="L223" i="134"/>
  <c r="I36" i="115" l="1"/>
  <c r="O18" i="109" s="1"/>
  <c r="L218" i="134"/>
  <c r="L22" i="134"/>
  <c r="L543" i="134"/>
  <c r="L538" i="134" l="1"/>
  <c r="L548" i="134"/>
  <c r="I630" i="105" l="1"/>
  <c r="L843" i="105"/>
  <c r="I866" i="105"/>
  <c r="I871" i="105"/>
  <c r="I858" i="105"/>
  <c r="L757" i="105"/>
  <c r="I760" i="105" s="1"/>
  <c r="I848" i="105"/>
  <c r="I833" i="105"/>
  <c r="I828" i="105"/>
  <c r="L810" i="105"/>
  <c r="I813" i="105" s="1"/>
  <c r="I788" i="105"/>
  <c r="L778" i="105"/>
  <c r="L767" i="105"/>
  <c r="I770" i="105" s="1"/>
  <c r="I594" i="105"/>
  <c r="I558" i="105"/>
  <c r="I542" i="105"/>
  <c r="I846" i="105" l="1"/>
  <c r="I778" i="105"/>
  <c r="I781" i="105"/>
  <c r="I843" i="105"/>
  <c r="I757" i="105"/>
  <c r="I838" i="105"/>
  <c r="I456" i="105"/>
  <c r="I336" i="105"/>
  <c r="I326" i="105"/>
  <c r="K289" i="105"/>
  <c r="K1017" i="105" s="1"/>
  <c r="L289" i="105"/>
  <c r="L1017" i="105" s="1"/>
  <c r="M289" i="105"/>
  <c r="M1017" i="105" s="1"/>
  <c r="N289" i="105"/>
  <c r="J1017" i="105"/>
  <c r="I304" i="105"/>
  <c r="I309" i="105"/>
  <c r="I299" i="105"/>
  <c r="I232" i="105"/>
  <c r="J1027" i="105" l="1"/>
  <c r="K1027" i="105"/>
  <c r="M1027" i="105"/>
  <c r="O12" i="109"/>
  <c r="L1027" i="105"/>
  <c r="I237" i="105"/>
  <c r="I227" i="105"/>
  <c r="I106" i="105"/>
  <c r="I217" i="105"/>
  <c r="I212" i="105"/>
  <c r="I207" i="105"/>
  <c r="I202" i="105"/>
  <c r="I197" i="105"/>
  <c r="I149" i="105"/>
  <c r="N156" i="105"/>
  <c r="I131" i="105"/>
  <c r="I97" i="105"/>
  <c r="I92" i="105"/>
  <c r="I87" i="105"/>
  <c r="I71" i="105"/>
  <c r="I66" i="105"/>
  <c r="I61" i="105"/>
  <c r="I56" i="105"/>
  <c r="I46" i="105"/>
  <c r="I292" i="105" l="1"/>
  <c r="N126" i="105"/>
  <c r="N1027" i="105" s="1"/>
  <c r="I1030" i="105" s="1"/>
  <c r="I159" i="105"/>
  <c r="I156" i="105"/>
  <c r="I36" i="105"/>
  <c r="I129" i="105" l="1"/>
  <c r="I126" i="105"/>
  <c r="K48" i="147"/>
  <c r="K42" i="147" l="1"/>
  <c r="K37" i="147"/>
  <c r="K77" i="147"/>
  <c r="K83" i="147"/>
  <c r="K61" i="147"/>
  <c r="K66" i="147"/>
  <c r="K55" i="147"/>
  <c r="K102" i="147"/>
  <c r="I37" i="115" l="1"/>
  <c r="Q168" i="144"/>
  <c r="P72" i="144"/>
  <c r="P67" i="144"/>
  <c r="P62" i="144"/>
  <c r="L34" i="115" l="1"/>
  <c r="O19" i="109"/>
  <c r="O21" i="109" s="1"/>
  <c r="H34" i="109" s="1"/>
  <c r="J219" i="182" l="1"/>
  <c r="R142" i="182" l="1"/>
  <c r="Q142" i="182"/>
  <c r="P142" i="182"/>
  <c r="O142" i="182"/>
  <c r="N142" i="182"/>
  <c r="M142" i="182"/>
  <c r="L142" i="182"/>
  <c r="K142" i="182"/>
  <c r="R146" i="181"/>
  <c r="Q146" i="181"/>
  <c r="O146" i="181"/>
  <c r="N146" i="181"/>
  <c r="M146" i="181"/>
  <c r="L146" i="181"/>
  <c r="K146" i="181"/>
  <c r="J145" i="182" l="1"/>
  <c r="P92" i="181"/>
  <c r="O92" i="181"/>
  <c r="N92" i="181"/>
  <c r="M92" i="181"/>
  <c r="L92" i="181"/>
  <c r="K92" i="181"/>
  <c r="J92" i="181"/>
  <c r="R92" i="181" l="1"/>
  <c r="I114" i="181" l="1"/>
  <c r="Q92" i="181"/>
  <c r="I95" i="181" s="1"/>
  <c r="I12" i="181"/>
  <c r="I21" i="181"/>
  <c r="I28" i="181"/>
  <c r="I38" i="181"/>
  <c r="I46" i="181"/>
  <c r="I55" i="181"/>
  <c r="I68" i="181"/>
  <c r="I78" i="181"/>
  <c r="I108" i="181"/>
  <c r="I132" i="181"/>
  <c r="I140" i="181"/>
  <c r="I97" i="181" l="1"/>
  <c r="P146" i="181"/>
  <c r="I149" i="181" s="1"/>
  <c r="I85" i="181"/>
  <c r="I92" i="181" s="1"/>
  <c r="I124" i="181"/>
  <c r="I146" i="181" l="1"/>
  <c r="F18" i="115"/>
  <c r="I18" i="115"/>
  <c r="H18" i="115"/>
  <c r="G18" i="115"/>
  <c r="O14" i="109" l="1"/>
  <c r="F24" i="113"/>
  <c r="F23" i="113" s="1"/>
  <c r="G726" i="105" l="1"/>
  <c r="F726" i="105"/>
  <c r="E726" i="105"/>
  <c r="E366" i="105"/>
  <c r="E318" i="105"/>
  <c r="I41" i="105" l="1"/>
  <c r="I11" i="113" l="1"/>
  <c r="I10" i="113" s="1"/>
  <c r="I816" i="105"/>
  <c r="I473" i="105"/>
  <c r="I136" i="105"/>
  <c r="L158" i="134" l="1"/>
  <c r="L150" i="134"/>
  <c r="I50" i="113"/>
  <c r="I45" i="113" s="1"/>
  <c r="R236" i="182"/>
  <c r="Q236" i="182"/>
  <c r="P236" i="182"/>
  <c r="O236" i="182"/>
  <c r="N236" i="182"/>
  <c r="M236" i="182"/>
  <c r="L236" i="182"/>
  <c r="K236" i="182"/>
  <c r="R89" i="182"/>
  <c r="Q89" i="182"/>
  <c r="P89" i="182"/>
  <c r="O89" i="182"/>
  <c r="N89" i="182"/>
  <c r="L89" i="182"/>
  <c r="K89" i="182"/>
  <c r="M89" i="182"/>
  <c r="H88" i="182"/>
  <c r="J84" i="182"/>
  <c r="J239" i="182" l="1"/>
  <c r="J92" i="182"/>
  <c r="F145" i="181"/>
  <c r="F62" i="181" l="1"/>
  <c r="F91" i="181"/>
  <c r="I810" i="105" l="1"/>
  <c r="I793" i="105"/>
  <c r="I783" i="105"/>
  <c r="L76" i="134" l="1"/>
  <c r="L81" i="134"/>
  <c r="K97" i="147"/>
  <c r="K24" i="147"/>
  <c r="K12" i="147"/>
  <c r="K17" i="147"/>
  <c r="L66" i="134" l="1"/>
  <c r="L12" i="134" l="1"/>
  <c r="L17" i="134"/>
  <c r="L42" i="134"/>
  <c r="E41" i="134" s="1"/>
  <c r="L47" i="134"/>
  <c r="L55" i="134"/>
  <c r="L60" i="134"/>
  <c r="R63" i="181" l="1"/>
  <c r="I773" i="105" l="1"/>
  <c r="H235" i="182"/>
  <c r="G235" i="182"/>
  <c r="Q242" i="182"/>
  <c r="P242" i="182"/>
  <c r="O242" i="182"/>
  <c r="N242" i="182"/>
  <c r="M242" i="182"/>
  <c r="I241" i="182"/>
  <c r="H241" i="182"/>
  <c r="G241" i="182"/>
  <c r="J147" i="182"/>
  <c r="I141" i="182"/>
  <c r="H141" i="182"/>
  <c r="G141" i="182"/>
  <c r="J135" i="182"/>
  <c r="J128" i="182"/>
  <c r="J120" i="182"/>
  <c r="J111" i="182"/>
  <c r="J105" i="182"/>
  <c r="J94" i="182"/>
  <c r="I88" i="182"/>
  <c r="G88" i="182"/>
  <c r="J77" i="182"/>
  <c r="J71" i="182"/>
  <c r="J64" i="182"/>
  <c r="R59" i="182"/>
  <c r="Q59" i="182"/>
  <c r="P59" i="182"/>
  <c r="O59" i="182"/>
  <c r="N59" i="182"/>
  <c r="M59" i="182"/>
  <c r="L59" i="182"/>
  <c r="K59" i="182"/>
  <c r="I58" i="182"/>
  <c r="H58" i="182"/>
  <c r="H229" i="182" s="1"/>
  <c r="G58" i="182"/>
  <c r="J51" i="182"/>
  <c r="J43" i="182"/>
  <c r="J35" i="182"/>
  <c r="J26" i="182"/>
  <c r="J20" i="182"/>
  <c r="J12" i="182"/>
  <c r="I151" i="181"/>
  <c r="H145" i="181"/>
  <c r="G145" i="181"/>
  <c r="H91" i="181"/>
  <c r="G91" i="181"/>
  <c r="Q63" i="181"/>
  <c r="P63" i="181"/>
  <c r="O63" i="181"/>
  <c r="N63" i="181"/>
  <c r="M63" i="181"/>
  <c r="L63" i="181"/>
  <c r="K63" i="181"/>
  <c r="J63" i="181"/>
  <c r="H62" i="181"/>
  <c r="G62" i="181"/>
  <c r="N230" i="182" l="1"/>
  <c r="O230" i="182"/>
  <c r="P230" i="182"/>
  <c r="R230" i="182"/>
  <c r="K230" i="182"/>
  <c r="L230" i="182"/>
  <c r="M230" i="182"/>
  <c r="Q230" i="182"/>
  <c r="I66" i="181"/>
  <c r="I229" i="182"/>
  <c r="G229" i="182"/>
  <c r="J142" i="182"/>
  <c r="P156" i="181"/>
  <c r="G151" i="182"/>
  <c r="G223" i="182" s="1"/>
  <c r="O152" i="182"/>
  <c r="L152" i="182"/>
  <c r="R156" i="181"/>
  <c r="N156" i="181"/>
  <c r="J156" i="181"/>
  <c r="F155" i="181"/>
  <c r="F166" i="181" s="1"/>
  <c r="O156" i="181"/>
  <c r="K156" i="181"/>
  <c r="K152" i="182"/>
  <c r="G155" i="181"/>
  <c r="G166" i="181" s="1"/>
  <c r="L156" i="181"/>
  <c r="J59" i="182"/>
  <c r="H151" i="182"/>
  <c r="H223" i="182" s="1"/>
  <c r="M152" i="182"/>
  <c r="Q152" i="182"/>
  <c r="I63" i="181"/>
  <c r="H155" i="181"/>
  <c r="H166" i="181" s="1"/>
  <c r="M156" i="181"/>
  <c r="Q156" i="181"/>
  <c r="I151" i="182"/>
  <c r="I223" i="182" s="1"/>
  <c r="N152" i="182"/>
  <c r="R152" i="182"/>
  <c r="I161" i="181"/>
  <c r="J236" i="182"/>
  <c r="J89" i="182"/>
  <c r="P152" i="182"/>
  <c r="L242" i="182"/>
  <c r="R242" i="182"/>
  <c r="M167" i="181" l="1"/>
  <c r="J167" i="181"/>
  <c r="K167" i="181"/>
  <c r="N167" i="181"/>
  <c r="Q167" i="181"/>
  <c r="L167" i="181"/>
  <c r="O167" i="181"/>
  <c r="R167" i="181"/>
  <c r="P167" i="181"/>
  <c r="J233" i="182"/>
  <c r="R224" i="182"/>
  <c r="N224" i="182"/>
  <c r="P224" i="182"/>
  <c r="M224" i="182"/>
  <c r="L224" i="182"/>
  <c r="O224" i="182"/>
  <c r="Q224" i="182"/>
  <c r="J62" i="182"/>
  <c r="I156" i="181"/>
  <c r="I167" i="181" s="1"/>
  <c r="K224" i="182"/>
  <c r="K242" i="182"/>
  <c r="J152" i="182"/>
  <c r="J230" i="182"/>
  <c r="I170" i="181" l="1"/>
  <c r="I159" i="181"/>
  <c r="J242" i="182"/>
  <c r="J245" i="182"/>
  <c r="N9" i="109"/>
  <c r="O9" i="109"/>
  <c r="N10" i="109"/>
  <c r="O10" i="109"/>
  <c r="N11" i="109"/>
  <c r="O11" i="109"/>
  <c r="P11" i="109" s="1"/>
  <c r="J155" i="182"/>
  <c r="J224" i="182"/>
  <c r="I641" i="105"/>
  <c r="I636" i="105"/>
  <c r="I599" i="105"/>
  <c r="I528" i="105"/>
  <c r="J227" i="182" l="1"/>
  <c r="I187" i="105"/>
  <c r="I319" i="105" l="1"/>
  <c r="I121" i="105"/>
  <c r="I21" i="105"/>
  <c r="H11" i="115" l="1"/>
  <c r="G11" i="115"/>
  <c r="G9" i="115" s="1"/>
  <c r="F11" i="115"/>
  <c r="I314" i="105" l="1"/>
  <c r="F11" i="113" l="1"/>
  <c r="I767" i="105" l="1"/>
  <c r="I717" i="105"/>
  <c r="N727" i="105" l="1"/>
  <c r="I730" i="105" l="1"/>
  <c r="N1017" i="105"/>
  <c r="I1017" i="105" s="1"/>
  <c r="N1022" i="105"/>
  <c r="I1022" i="105" l="1"/>
  <c r="I1025" i="105"/>
  <c r="N13" i="109"/>
  <c r="I1020" i="105"/>
  <c r="G38" i="115"/>
  <c r="G34" i="115"/>
  <c r="G27" i="115"/>
  <c r="G17" i="115" s="1"/>
  <c r="G61" i="113"/>
  <c r="E24" i="109" s="1"/>
  <c r="G55" i="113"/>
  <c r="G50" i="113"/>
  <c r="G46" i="113"/>
  <c r="G35" i="113"/>
  <c r="G24" i="113"/>
  <c r="G23" i="113" s="1"/>
  <c r="G11" i="113"/>
  <c r="G10" i="113" s="1"/>
  <c r="I488" i="105"/>
  <c r="I518" i="105"/>
  <c r="I462" i="105"/>
  <c r="I468" i="105"/>
  <c r="I478" i="105"/>
  <c r="I483" i="105"/>
  <c r="I493" i="105"/>
  <c r="I503" i="105"/>
  <c r="I508" i="105"/>
  <c r="I513" i="105"/>
  <c r="I523" i="105"/>
  <c r="I537" i="105"/>
  <c r="I547" i="105"/>
  <c r="I552" i="105"/>
  <c r="I563" i="105"/>
  <c r="I568" i="105"/>
  <c r="I573" i="105"/>
  <c r="I578" i="105"/>
  <c r="I583" i="105"/>
  <c r="I589" i="105"/>
  <c r="I604" i="105"/>
  <c r="I610" i="105"/>
  <c r="I615" i="105"/>
  <c r="I620" i="105"/>
  <c r="I625" i="105"/>
  <c r="I646" i="105"/>
  <c r="I652" i="105"/>
  <c r="I657" i="105"/>
  <c r="I662" i="105"/>
  <c r="I667" i="105"/>
  <c r="I672" i="105"/>
  <c r="I677" i="105"/>
  <c r="I682" i="105"/>
  <c r="I687" i="105"/>
  <c r="I692" i="105"/>
  <c r="I697" i="105"/>
  <c r="I702" i="105"/>
  <c r="I707" i="105"/>
  <c r="I712" i="105"/>
  <c r="I722" i="105"/>
  <c r="I727" i="105"/>
  <c r="I732" i="105"/>
  <c r="I737" i="105"/>
  <c r="I742" i="105"/>
  <c r="I747" i="105"/>
  <c r="I752" i="105"/>
  <c r="I762" i="105"/>
  <c r="I65" i="113"/>
  <c r="G28" i="109" s="1"/>
  <c r="I181" i="105"/>
  <c r="I176" i="105"/>
  <c r="I171" i="105"/>
  <c r="E33" i="134"/>
  <c r="E37" i="134"/>
  <c r="N12" i="109"/>
  <c r="P57" i="144"/>
  <c r="P12" i="144"/>
  <c r="P52" i="144"/>
  <c r="P47" i="144"/>
  <c r="I378" i="105"/>
  <c r="H27" i="115"/>
  <c r="H17" i="115" s="1"/>
  <c r="F27" i="115"/>
  <c r="I352" i="105"/>
  <c r="F9" i="115"/>
  <c r="H46" i="113"/>
  <c r="F46" i="113"/>
  <c r="I449" i="105"/>
  <c r="I444" i="105"/>
  <c r="I439" i="105"/>
  <c r="I434" i="105"/>
  <c r="I429" i="105"/>
  <c r="I424" i="105"/>
  <c r="I419" i="105"/>
  <c r="I413" i="105"/>
  <c r="I408" i="105"/>
  <c r="I403" i="105"/>
  <c r="I398" i="105"/>
  <c r="I393" i="105"/>
  <c r="I388" i="105"/>
  <c r="I383" i="105"/>
  <c r="I372" i="105"/>
  <c r="I362" i="105"/>
  <c r="I357" i="105"/>
  <c r="I331" i="105"/>
  <c r="I294" i="105"/>
  <c r="I284" i="105"/>
  <c r="I279" i="105"/>
  <c r="I274" i="105"/>
  <c r="I269" i="105"/>
  <c r="I264" i="105"/>
  <c r="I248" i="105"/>
  <c r="I192" i="105"/>
  <c r="I116" i="105"/>
  <c r="I111" i="105"/>
  <c r="I51" i="105"/>
  <c r="I31" i="105"/>
  <c r="I26" i="105"/>
  <c r="I16" i="105"/>
  <c r="I11" i="105"/>
  <c r="I35" i="113"/>
  <c r="I38" i="115"/>
  <c r="H38" i="115"/>
  <c r="F38" i="115"/>
  <c r="H34" i="115"/>
  <c r="F34" i="115"/>
  <c r="H9" i="115"/>
  <c r="H65" i="113"/>
  <c r="F65" i="113"/>
  <c r="H61" i="113"/>
  <c r="F61" i="113"/>
  <c r="H55" i="113"/>
  <c r="F55" i="113"/>
  <c r="H50" i="113"/>
  <c r="F50" i="113"/>
  <c r="H35" i="113"/>
  <c r="F35" i="113"/>
  <c r="I24" i="113"/>
  <c r="I23" i="113" s="1"/>
  <c r="H24" i="113"/>
  <c r="H23" i="113" s="1"/>
  <c r="H11" i="113"/>
  <c r="H10" i="113" s="1"/>
  <c r="F10" i="113"/>
  <c r="I9" i="113" l="1"/>
  <c r="I57" i="113" s="1"/>
  <c r="O13" i="109"/>
  <c r="N20" i="109"/>
  <c r="I17" i="115"/>
  <c r="H60" i="113"/>
  <c r="H59" i="113" s="1"/>
  <c r="F60" i="113"/>
  <c r="F59" i="113" s="1"/>
  <c r="G45" i="113"/>
  <c r="F45" i="113"/>
  <c r="H15" i="115"/>
  <c r="H41" i="115" s="1"/>
  <c r="H49" i="115" s="1"/>
  <c r="H45" i="113"/>
  <c r="E32" i="134"/>
  <c r="E31" i="134"/>
  <c r="N18" i="109"/>
  <c r="N30" i="109"/>
  <c r="G65" i="113"/>
  <c r="G15" i="115"/>
  <c r="G41" i="115" s="1"/>
  <c r="G49" i="115" s="1"/>
  <c r="I259" i="105"/>
  <c r="F17" i="115"/>
  <c r="F15" i="115" s="1"/>
  <c r="F41" i="115" s="1"/>
  <c r="F49" i="115" s="1"/>
  <c r="I11" i="115"/>
  <c r="G11" i="109"/>
  <c r="G12" i="109"/>
  <c r="G17" i="109"/>
  <c r="G19" i="109"/>
  <c r="H9" i="113"/>
  <c r="F9" i="113"/>
  <c r="G9" i="113"/>
  <c r="I367" i="105"/>
  <c r="N14" i="109"/>
  <c r="I289" i="105"/>
  <c r="I498" i="105"/>
  <c r="I1027" i="105"/>
  <c r="O15" i="109" l="1"/>
  <c r="P13" i="109"/>
  <c r="H33" i="109"/>
  <c r="O22" i="109"/>
  <c r="G10" i="109"/>
  <c r="I16" i="115"/>
  <c r="L15" i="115" s="1"/>
  <c r="L41" i="115" s="1"/>
  <c r="L58" i="113" s="1"/>
  <c r="G60" i="113"/>
  <c r="G59" i="113" s="1"/>
  <c r="E28" i="109"/>
  <c r="F36" i="109"/>
  <c r="F30" i="109"/>
  <c r="F31" i="109" s="1"/>
  <c r="F38" i="109" s="1"/>
  <c r="F57" i="113"/>
  <c r="F58" i="113" s="1"/>
  <c r="G57" i="113"/>
  <c r="I61" i="113"/>
  <c r="H57" i="113"/>
  <c r="H58" i="113" s="1"/>
  <c r="G9" i="109"/>
  <c r="H32" i="109" l="1"/>
  <c r="H35" i="109" s="1"/>
  <c r="O31" i="109"/>
  <c r="L49" i="115"/>
  <c r="G15" i="109"/>
  <c r="G75" i="113"/>
  <c r="F39" i="109"/>
  <c r="I60" i="113"/>
  <c r="I59" i="113" s="1"/>
  <c r="I75" i="113" s="1"/>
  <c r="G24" i="109"/>
  <c r="G36" i="109" s="1"/>
  <c r="E30" i="109"/>
  <c r="E31" i="109" s="1"/>
  <c r="E38" i="109" s="1"/>
  <c r="E36" i="109"/>
  <c r="F75" i="113"/>
  <c r="G58" i="113"/>
  <c r="H75" i="113"/>
  <c r="N17" i="109"/>
  <c r="I34" i="115"/>
  <c r="G18" i="109"/>
  <c r="G21" i="109" s="1"/>
  <c r="I9" i="115"/>
  <c r="N19" i="109"/>
  <c r="O39" i="109" l="1"/>
  <c r="O38" i="109"/>
  <c r="E39" i="109"/>
  <c r="G30" i="109"/>
  <c r="I15" i="115"/>
  <c r="I41" i="115" s="1"/>
  <c r="I58" i="113" s="1"/>
  <c r="G22" i="109"/>
  <c r="N21" i="109"/>
  <c r="G34" i="109" s="1"/>
  <c r="N15" i="109"/>
  <c r="G33" i="109" l="1"/>
  <c r="G31" i="109"/>
  <c r="G38" i="109" s="1"/>
  <c r="N22" i="109"/>
  <c r="G32" i="109" s="1"/>
  <c r="G35" i="109" s="1"/>
  <c r="I49" i="115"/>
  <c r="G39" i="109" l="1"/>
  <c r="N31" i="109"/>
  <c r="N39" i="109" l="1"/>
  <c r="N38" i="109"/>
  <c r="J140" i="182"/>
  <c r="I579" i="105"/>
  <c r="J17" i="182"/>
  <c r="I121" i="181"/>
</calcChain>
</file>

<file path=xl/sharedStrings.xml><?xml version="1.0" encoding="utf-8"?>
<sst xmlns="http://schemas.openxmlformats.org/spreadsheetml/2006/main" count="3853" uniqueCount="1148">
  <si>
    <t>adatok eFt-ban</t>
  </si>
  <si>
    <t>A</t>
  </si>
  <si>
    <t>C</t>
  </si>
  <si>
    <t>B</t>
  </si>
  <si>
    <t>D</t>
  </si>
  <si>
    <t>E</t>
  </si>
  <si>
    <t>Megnevezés</t>
  </si>
  <si>
    <t>Temetők üzemeltetésével kapcsolatos feladatok</t>
  </si>
  <si>
    <t>Parkfenntartás</t>
  </si>
  <si>
    <t>Köztisztasági feladatok</t>
  </si>
  <si>
    <t>Városi kiemelt fesztiválok</t>
  </si>
  <si>
    <t>Városi lap kiadásai</t>
  </si>
  <si>
    <t>Kitüntetések</t>
  </si>
  <si>
    <t>MINDÖSSZESEN:</t>
  </si>
  <si>
    <t>Veszprém Megyei Jogú Város Önkormányzata</t>
  </si>
  <si>
    <t>F</t>
  </si>
  <si>
    <t>G</t>
  </si>
  <si>
    <t>H</t>
  </si>
  <si>
    <t>Cím</t>
  </si>
  <si>
    <t>Alcím</t>
  </si>
  <si>
    <t>Feladatellátás jellege*</t>
  </si>
  <si>
    <t>Teljes költség</t>
  </si>
  <si>
    <t>Önkormányzati felújítási kiadások</t>
  </si>
  <si>
    <t>K</t>
  </si>
  <si>
    <t>NK</t>
  </si>
  <si>
    <t>* Feladatellátás jellege:</t>
  </si>
  <si>
    <t>K= Magyarország helyi önkormányzatairól szóló 2011. évi CLXXXIX. törvény 13. § (1) bekezdése szerinti kötelező feladatok</t>
  </si>
  <si>
    <t>NK= Önkormányzat által önként vállalt feladatok</t>
  </si>
  <si>
    <t>J</t>
  </si>
  <si>
    <t>Önkormányzati beruházási kiadások</t>
  </si>
  <si>
    <t>Laczkó Dezső Múzeum</t>
  </si>
  <si>
    <t>Informatikai kiadások</t>
  </si>
  <si>
    <t>I</t>
  </si>
  <si>
    <t>L</t>
  </si>
  <si>
    <t>M</t>
  </si>
  <si>
    <t>Működési költségvetési kiadások</t>
  </si>
  <si>
    <t>Személyi juttatások</t>
  </si>
  <si>
    <t>Munk.a. terh. jár. és szoc.hj.adó</t>
  </si>
  <si>
    <t>Dologi kiadások</t>
  </si>
  <si>
    <t>Egyéb működési kiadások</t>
  </si>
  <si>
    <t>Nemzeti ünnepek kiadásaira</t>
  </si>
  <si>
    <t>Nemzetközi kapcsolatok</t>
  </si>
  <si>
    <t>Marketing tevékenység, marketing stratégia</t>
  </si>
  <si>
    <t xml:space="preserve">          - Gizella Napok</t>
  </si>
  <si>
    <t xml:space="preserve">          - Tánc Fesztivál </t>
  </si>
  <si>
    <t xml:space="preserve">          - Veszprémi Utcazene Fesztivál</t>
  </si>
  <si>
    <t xml:space="preserve">          - Auer Hegedűfesztivál</t>
  </si>
  <si>
    <t>Eseti rendezvények</t>
  </si>
  <si>
    <t>Köztéri szobrok, emléktáblák, lektorátus</t>
  </si>
  <si>
    <t>Kiadványok, folyóiratok támogatása</t>
  </si>
  <si>
    <t>ebből: - Mendelssohn Kamarazenekar</t>
  </si>
  <si>
    <t xml:space="preserve"> - Veszprém Város Vegyeskara</t>
  </si>
  <si>
    <t xml:space="preserve"> - Veszprémi Táncegyüttesért Alapítvány</t>
  </si>
  <si>
    <t xml:space="preserve"> - Liszt F. Kórus</t>
  </si>
  <si>
    <t>Tanórán kívüli tevékenység támogatása</t>
  </si>
  <si>
    <t>Sportpálya fenntartás, ill. fenntartói tám.</t>
  </si>
  <si>
    <t>Polgármesteri keret</t>
  </si>
  <si>
    <t>Városi civil keret</t>
  </si>
  <si>
    <t xml:space="preserve"> ebből : - Nyugdíjas szervezetek számára pályázati keret</t>
  </si>
  <si>
    <t xml:space="preserve">            - Pályázati keret</t>
  </si>
  <si>
    <t>Köztemetés</t>
  </si>
  <si>
    <t xml:space="preserve">Közcélú és közhasznú foglalkoztatás </t>
  </si>
  <si>
    <t>Települési szilárdhulladék szállítás ártámogatás</t>
  </si>
  <si>
    <t>Máltai Szeretetszolgálatnak pénzeszköz átadás (ellátási szerződés)</t>
  </si>
  <si>
    <t>Lelkisegély szolgálat</t>
  </si>
  <si>
    <t>Hittudományi Főiskola támogatása</t>
  </si>
  <si>
    <t>Munkavédelmi feladatok</t>
  </si>
  <si>
    <t>Közbeszerzési eljárások költségei</t>
  </si>
  <si>
    <t xml:space="preserve">Önkormányzat igazgatási tevékenysége </t>
  </si>
  <si>
    <t>Igazgatás - Állam felé befizetési kötelezettség</t>
  </si>
  <si>
    <t>ÁFA befizetés</t>
  </si>
  <si>
    <t>Kamatkiadások</t>
  </si>
  <si>
    <t>Városi Közbiztonság Keret</t>
  </si>
  <si>
    <t>Nem lakáscélú helyiségek üzemeltetési költségei</t>
  </si>
  <si>
    <t>Közüzemi Zrt. jutaléka</t>
  </si>
  <si>
    <t>Városi TV közszolgálati műsorok támogatása</t>
  </si>
  <si>
    <t>Jutasi úti műfüves pálya fenntartása (LUC)</t>
  </si>
  <si>
    <t>TDM Irodától szolgáltatás vásárlása</t>
  </si>
  <si>
    <t>Településfejlesztési feladatok</t>
  </si>
  <si>
    <t>Rekultivációt megelőző telephely fenntartási költség</t>
  </si>
  <si>
    <t>Aluljárók csapadékvíz átemelőinek üzemeltetése</t>
  </si>
  <si>
    <t>Szökőkutak, ivókutak szolgáltatási díjai</t>
  </si>
  <si>
    <t>Közvilágítás</t>
  </si>
  <si>
    <t>Közműalagút működtetése</t>
  </si>
  <si>
    <t>Környezetvédelmi feladat (Városüzemeltetés feladatai)</t>
  </si>
  <si>
    <t>Környezetvédelmi feladat (Közigazgatási Iroda feladatai)</t>
  </si>
  <si>
    <t>Nemzetiségi önkormányzatok kiadásai:</t>
  </si>
  <si>
    <t xml:space="preserve"> ebből: - Roma Nemzetiségi Önkormányzat</t>
  </si>
  <si>
    <t>- Német Nemzetiségi Önkormányzat</t>
  </si>
  <si>
    <t>- Örmény Nemzetiségi Önkormányzat</t>
  </si>
  <si>
    <t>- Lengyel Nemzetiségi Önkormányzat</t>
  </si>
  <si>
    <t>- Ukrán Nemzetiségi Önkormányzat</t>
  </si>
  <si>
    <t>Ebből: Önkormányzat által ellátott kötelező feladatok összesen:</t>
  </si>
  <si>
    <t>Ebből: Önkormányzat által ellátott önként vállalt feladatok összesen:</t>
  </si>
  <si>
    <t>KIMUTATÁS</t>
  </si>
  <si>
    <t>Módosítás</t>
  </si>
  <si>
    <t>Megjegyzés</t>
  </si>
  <si>
    <t>Göllesz Viktor Fogyatékos Személyek Nappali Intézménye</t>
  </si>
  <si>
    <t>Intézmények összesen:</t>
  </si>
  <si>
    <t>VMJV Önkormányzata</t>
  </si>
  <si>
    <t>ebből:</t>
  </si>
  <si>
    <t>Összesen</t>
  </si>
  <si>
    <t>Iparűzési adó</t>
  </si>
  <si>
    <t>Építményadó</t>
  </si>
  <si>
    <t>Telekadó</t>
  </si>
  <si>
    <t>Kommunális adó</t>
  </si>
  <si>
    <t>Idegenforgalmi adó</t>
  </si>
  <si>
    <t>Veszprém Megyei Jogú Város Önkormányzata Intézményei</t>
  </si>
  <si>
    <t>Működési költségvetési bevételek</t>
  </si>
  <si>
    <t>Felhalmozási költségvetési bevételek</t>
  </si>
  <si>
    <t>Irányító szervtől kapott támogatás</t>
  </si>
  <si>
    <t>Működési bevételek</t>
  </si>
  <si>
    <t>Működési célú átvett pénzeszköz</t>
  </si>
  <si>
    <t>Felhalmozási bevétel</t>
  </si>
  <si>
    <t>Felhalmozási célú átvett pénzeszköz</t>
  </si>
  <si>
    <t>(Ringató Óvoda, Erdei Tagóvoda, Kuckó Tagóvoda)</t>
  </si>
  <si>
    <t>(Egry ltp. Óvoda, Nárcisz Tagóvoda)</t>
  </si>
  <si>
    <t>(Csillag úti Óvoda, Cholnoky ltp. Óvoda)</t>
  </si>
  <si>
    <t>(Kastélykert Óvoda, Ficánka Óvoda)</t>
  </si>
  <si>
    <t>Veszprémi Petőfi Színház</t>
  </si>
  <si>
    <t>INTÉZMÉNYEK ÖSSZESEN:</t>
  </si>
  <si>
    <t>VMJV Polgármesteri Hivatal által ellátott kötelező és önként vállalt feladatok</t>
  </si>
  <si>
    <t>N</t>
  </si>
  <si>
    <t>O</t>
  </si>
  <si>
    <t>P</t>
  </si>
  <si>
    <t>Felhalmozási költségvetési kiadások</t>
  </si>
  <si>
    <t>Egyéb felhalmozási célú kiadások</t>
  </si>
  <si>
    <t>Igazgatási tevékenység</t>
  </si>
  <si>
    <t>Gondnokság</t>
  </si>
  <si>
    <t>Ebből:</t>
  </si>
  <si>
    <t>Önkormányzati kötelező feladatokat ellátó intézmények összesen</t>
  </si>
  <si>
    <t>Önkormányzat által önként vállalt feladatokat ellátó intézmények összesen</t>
  </si>
  <si>
    <t>VMJV Polgármesteri Hivatal által ellátott kötelező és államigazgatási feladatok összesen</t>
  </si>
  <si>
    <t>Veszprém Megyei Jogú Város Önkormányzatának</t>
  </si>
  <si>
    <t>Működési célú támogatások Áht-on belülről</t>
  </si>
  <si>
    <t>Önkormányzatok működési támogatásai</t>
  </si>
  <si>
    <t>Működési célú költségvetési támogatások és kiegészítő támogatások</t>
  </si>
  <si>
    <t>Egyéb működési célú támogatások bevételei</t>
  </si>
  <si>
    <t>ebből: Társadalombizt. Alapból származó támogatás</t>
  </si>
  <si>
    <t>Közhatalmi bevételek</t>
  </si>
  <si>
    <t>Adók</t>
  </si>
  <si>
    <t>Egyéb pótlékok, bírságok</t>
  </si>
  <si>
    <t>Egyéb közhatalmi bevételek (bírságok, igazgatási szolgáltatási díjak)</t>
  </si>
  <si>
    <t>Önkormányzati Intézmények működési bevételek</t>
  </si>
  <si>
    <t>Működési célú átvett pénzeszközök</t>
  </si>
  <si>
    <t>Önkormányzati Intézmények működési célú átvett pénzeszközök</t>
  </si>
  <si>
    <t>Felhalmozási célú önkormányzati támogatások</t>
  </si>
  <si>
    <t>Egyéb felhalmozási célú támogatások bevételei</t>
  </si>
  <si>
    <t>Felhalmozási bevételek</t>
  </si>
  <si>
    <t>Ingatlanok értékesítése</t>
  </si>
  <si>
    <t>Önkormányzati Intézmények felhalmozási bevételei</t>
  </si>
  <si>
    <t>Felhalmozási célú átvett pénzeszközök</t>
  </si>
  <si>
    <t>Önkormányzati Intézmények felhalmozási célú átvett pénzeszközök</t>
  </si>
  <si>
    <t>Lakásalap</t>
  </si>
  <si>
    <t>Költségvetési bevételek összesen</t>
  </si>
  <si>
    <t>Költségvetési egyenleg összege</t>
  </si>
  <si>
    <t>Finanszírozási bevételek</t>
  </si>
  <si>
    <t>Intézmények</t>
  </si>
  <si>
    <t>VMJV Polgármesteri Hivatala</t>
  </si>
  <si>
    <t>Beruházási hitelfelvétel</t>
  </si>
  <si>
    <t>Előző évi hitelszerződéseken alapuló felvétel</t>
  </si>
  <si>
    <t>Bevételi főösszeg</t>
  </si>
  <si>
    <t xml:space="preserve">Cím  </t>
  </si>
  <si>
    <t>Intézményi költségvetési kiadások</t>
  </si>
  <si>
    <t>Céltartalékok</t>
  </si>
  <si>
    <t>Általános tartalék</t>
  </si>
  <si>
    <t>Lakásalap kiadása</t>
  </si>
  <si>
    <t>Költségvetési kiadások összesen</t>
  </si>
  <si>
    <t>Finanszírozási kiadások</t>
  </si>
  <si>
    <t>Működési finanszírozási kiadások</t>
  </si>
  <si>
    <t>Felhalmozási finanszírozási kiadások</t>
  </si>
  <si>
    <t xml:space="preserve"> - Hiteltörlesztés</t>
  </si>
  <si>
    <t xml:space="preserve"> - Lakásalap hiteltörlesztése</t>
  </si>
  <si>
    <t>Kiadási főösszeg</t>
  </si>
  <si>
    <t>VESZPRÉM MEGYEI JOGÚ VÁROS ÖNKORMÁNYZATÁNAK MŰKÖDÉSI ÉS FELHALMOZÁSI</t>
  </si>
  <si>
    <t>MŰKÖDÉSI KÖLTSÉGVETÉSI BEVÉTELEK</t>
  </si>
  <si>
    <t>MŰKÖDÉSI KÖLTSÉGVETÉSI KIADÁSOK</t>
  </si>
  <si>
    <t>Működési célú támogatások államháztartáson belülről</t>
  </si>
  <si>
    <t>Munkaadókat terhelő járulékok és szociális hozzájárulási adó</t>
  </si>
  <si>
    <t>Ellátottak pénzbeli juttatásai</t>
  </si>
  <si>
    <t>Egyéb működési célú kiadások (tartalékok nélkül)</t>
  </si>
  <si>
    <t>Működési költségvetési bevételek összesen</t>
  </si>
  <si>
    <t>Működési költségvetési kiadások összesen</t>
  </si>
  <si>
    <t>FELHALMOZÁSI KÖLTSÉGVETÉSI BEVÉTELEK</t>
  </si>
  <si>
    <t>FELHALMOZÁSI KÖLTSÉGVETÉSI KIADÁSOK</t>
  </si>
  <si>
    <t>Felhalmozási célú támogatások államháztartáson belülről</t>
  </si>
  <si>
    <t>Beruházási kiadások</t>
  </si>
  <si>
    <t>Felújítási kiadások</t>
  </si>
  <si>
    <t>Felhalmozási költségvetési bevételek összesen</t>
  </si>
  <si>
    <t>Felhalmozási költségvetési kiadások összesen</t>
  </si>
  <si>
    <t>MŰKÖDÉSI FINANSZÍROZÁSI BEVÉTELEK</t>
  </si>
  <si>
    <t>MŰKÖDÉSI FINANSZÍROZÁSI KIADÁSOK</t>
  </si>
  <si>
    <t>FELHALMOZÁSI FINANSZÍROZÁSI BEVÉTELEK</t>
  </si>
  <si>
    <t>FELHALMOZÁSI FINANSZÍROZÁSI KIADÁSOK</t>
  </si>
  <si>
    <t>Hosszú lejáratú hitel felvétele</t>
  </si>
  <si>
    <t>Hosszú lejáratú hitel tőkeösszegének törlesztése</t>
  </si>
  <si>
    <t>Finanszírozási bevételek összesen</t>
  </si>
  <si>
    <t>Finanszírozási kiadások összesen</t>
  </si>
  <si>
    <t>ÖSSZES BEVÉTEL</t>
  </si>
  <si>
    <t>ÖSSZES KIADÁS</t>
  </si>
  <si>
    <t>ebből működési:</t>
  </si>
  <si>
    <t>ebből felhalmozási:</t>
  </si>
  <si>
    <t>Finanszírozási kiadásokkal korrigált hiány összege</t>
  </si>
  <si>
    <t>Működési bevételek aránya %-ban</t>
  </si>
  <si>
    <t>Működési kiadások aránya %-ban</t>
  </si>
  <si>
    <t>Felhalmozási bevételek aránya %-ban</t>
  </si>
  <si>
    <t>Felhalmozási kiadások aránya %-ban</t>
  </si>
  <si>
    <t xml:space="preserve"> </t>
  </si>
  <si>
    <t>Kiemelt művészeti együttesek támogatása</t>
  </si>
  <si>
    <t>Bérleményekkel, haszonbérletekkel kapcsolatos feladatok</t>
  </si>
  <si>
    <t>Csapadékcsatornák üzemeltetési szolgáltatásai</t>
  </si>
  <si>
    <t>Felhalmozási célú átvett pénzeszközök (kölcsönök visszatérülése)</t>
  </si>
  <si>
    <t>Felhalmozási célú költségvetési maradvány igénybevétele</t>
  </si>
  <si>
    <t>Előző évi  költségvetési maradvány</t>
  </si>
  <si>
    <t>Államháztartáson belüli megelőlegezések</t>
  </si>
  <si>
    <t>Államháztartáson belüli megelőlegezések visszafizetése</t>
  </si>
  <si>
    <t>Veszprémi Ringató Körzeti Óvoda</t>
  </si>
  <si>
    <t>Veszprémi Egry úti Körzeti Óvoda</t>
  </si>
  <si>
    <t>Veszprémi Csillag úti Körzeti Óvoda</t>
  </si>
  <si>
    <t>Veszprémi Kastélykert Körzeti Óvoda</t>
  </si>
  <si>
    <t>Veszprémi Intézményi Szolgáltató Szervezet</t>
  </si>
  <si>
    <t>Nyári diákmunka</t>
  </si>
  <si>
    <t>Pannon Várszínház támogatás</t>
  </si>
  <si>
    <t>Városi rendezvények</t>
  </si>
  <si>
    <t>SÉD folyóirat költségei</t>
  </si>
  <si>
    <t>M.J.V.SZ. tám. Kárpátalja megsegítésére</t>
  </si>
  <si>
    <t>ebből:  - Lélektér Alapítvány</t>
  </si>
  <si>
    <t xml:space="preserve">           - Tanulmányi ösztöndíj</t>
  </si>
  <si>
    <t xml:space="preserve">           - Fiatalok napja rendezvény</t>
  </si>
  <si>
    <t>Lakbértámogatás</t>
  </si>
  <si>
    <t>Települési támogatások</t>
  </si>
  <si>
    <t>Parkolók üzemeltetési költsége</t>
  </si>
  <si>
    <t>ebből:  - Rendkívüli támogatás</t>
  </si>
  <si>
    <t>Közfoglalkoztatottak és diákmunkások létszáma</t>
  </si>
  <si>
    <t>Szolgáltatások, közvetített szolgáltatások ellenértéke</t>
  </si>
  <si>
    <t>ÁFA bevételek és visszatérülések</t>
  </si>
  <si>
    <t>Költségvetési hiány belső finanszírozására szolgáló bevételek</t>
  </si>
  <si>
    <t>Költségvetési hiány külső finanszírozására szolgáló bevételek</t>
  </si>
  <si>
    <t>Feladatellátás jellege</t>
  </si>
  <si>
    <t>Egyéb városüzemeltetési feladatok</t>
  </si>
  <si>
    <t>VKSZ Zrt. által ellátott városüzemeltetési feladatok</t>
  </si>
  <si>
    <t>VKSZ Zrt. által ellátott intézményüzemeltetési feladatok</t>
  </si>
  <si>
    <t>Intézményi működtetők költsége</t>
  </si>
  <si>
    <t>Szenvedélybetegek ellátásának működési kiadásaihoz támogatás</t>
  </si>
  <si>
    <t>Költségvetési maradvány</t>
  </si>
  <si>
    <t>eredeti előirányzat</t>
  </si>
  <si>
    <t>(Hársfa Tagóvoda, Bóbita Óvoda)</t>
  </si>
  <si>
    <t>Veszprémi Bóbita Körzeti Óvoda</t>
  </si>
  <si>
    <t>Veszprémi Vadvirág Körzeti Óvoda</t>
  </si>
  <si>
    <t>Bérlakások üzemeltetési költségei</t>
  </si>
  <si>
    <t>17</t>
  </si>
  <si>
    <t>Polgármester, Alpolgármesterek</t>
  </si>
  <si>
    <t>(Csillagvár Waldorf Tagóvoda, Vadvirág Óvoda)</t>
  </si>
  <si>
    <t>Veszprémi Bölcsődei és Egészségügyi Alapellátási Integrált Intézmény</t>
  </si>
  <si>
    <t xml:space="preserve"> - Gizella Kórus/Dowland Alapítvány</t>
  </si>
  <si>
    <t xml:space="preserve">Központi orvosi ügyelet </t>
  </si>
  <si>
    <t xml:space="preserve">           - Veszprémi Ifjúsági Közalapítvány</t>
  </si>
  <si>
    <t xml:space="preserve">Veszprémi Bóbita Körzeti Óvoda </t>
  </si>
  <si>
    <r>
      <t>Ebből</t>
    </r>
    <r>
      <rPr>
        <i/>
        <sz val="10"/>
        <rFont val="Palatino Linotype"/>
        <family val="1"/>
        <charset val="238"/>
      </rPr>
      <t>: költségvetési támogatás</t>
    </r>
  </si>
  <si>
    <t>1-16</t>
  </si>
  <si>
    <t>Eü. Alapellátás</t>
  </si>
  <si>
    <t>Stadion üzemeltetése</t>
  </si>
  <si>
    <t>Városi ifjúsági keret</t>
  </si>
  <si>
    <t>Szünidei gyermekétkeztetés</t>
  </si>
  <si>
    <t xml:space="preserve">          - Lakásfenntartási támogatás </t>
  </si>
  <si>
    <t xml:space="preserve">          - Albérleti támogatás</t>
  </si>
  <si>
    <t xml:space="preserve">          - Temetési támogatás</t>
  </si>
  <si>
    <t xml:space="preserve">          - Térítési díj</t>
  </si>
  <si>
    <t xml:space="preserve">          - Gyógyszertámogatás</t>
  </si>
  <si>
    <t xml:space="preserve">         - Adósságcsökkentési támogatás</t>
  </si>
  <si>
    <t xml:space="preserve">         - Szünidei gyermekétkeztetés</t>
  </si>
  <si>
    <t>Nevelési szolgáltatás</t>
  </si>
  <si>
    <t>Szolidaritási hozzájárulás</t>
  </si>
  <si>
    <t>DAT térképfrissítés, földkönyv, közműnyilvántartás, GPS</t>
  </si>
  <si>
    <t>Hiány finanszírozása belső finanszírozásra szolgáló költségvetési bevétel összegével</t>
  </si>
  <si>
    <t>Hiány finanszírozása külső finanszírozásra szolgáló költségvetési bevétel összegével</t>
  </si>
  <si>
    <t>Csillagvár Waldorf Tagóvoda</t>
  </si>
  <si>
    <t>Hársfa Tagóvoda</t>
  </si>
  <si>
    <t>Nárcisz Tagóvoda</t>
  </si>
  <si>
    <t>Cholnoky Jenő Ltp. Tagóvoda</t>
  </si>
  <si>
    <t>Ficánka Tagóvoda</t>
  </si>
  <si>
    <t>Hóvirág Bölcsőde</t>
  </si>
  <si>
    <t>Vackor Bölcsőde</t>
  </si>
  <si>
    <t>Aprófalvi Bölcsőde</t>
  </si>
  <si>
    <t>Módszertani Bölcsőde</t>
  </si>
  <si>
    <t>Fogorvosi körzeteknek működési hozzájárulás</t>
  </si>
  <si>
    <t>Fogorvosi körzetek részére pályázati alap</t>
  </si>
  <si>
    <t>Állatmenhelyek támogatása</t>
  </si>
  <si>
    <t>Közutak, hidak fenntartása</t>
  </si>
  <si>
    <t>Művészetek Háza Veszprém Művelődési Ház és Kiállítóhely</t>
  </si>
  <si>
    <t>Kabóca Bábszínház</t>
  </si>
  <si>
    <t xml:space="preserve">Kabóca Bábszínház </t>
  </si>
  <si>
    <t>Veszprémi Családsegítő és Gyermekjóléti Integrált Intézmény</t>
  </si>
  <si>
    <t>Agóra Veszprém Kulturális Központ</t>
  </si>
  <si>
    <t xml:space="preserve">Agóra Veszprém Kulturális Központ </t>
  </si>
  <si>
    <t>1-17</t>
  </si>
  <si>
    <t>18</t>
  </si>
  <si>
    <t>Napsugár Bölcsőde</t>
  </si>
  <si>
    <t>Infrastruktúra fejlesztési feladatokhoz kapcsolódó kiadások</t>
  </si>
  <si>
    <t>Védett sírok felújítása az Alsóvárosi temetőben</t>
  </si>
  <si>
    <t>Brusznyai Árpád Alapítvány támogatása</t>
  </si>
  <si>
    <t>Működési célú tartalékok</t>
  </si>
  <si>
    <t>Felhalmozási célú tartalékok</t>
  </si>
  <si>
    <t>Működési célú céltartalékok</t>
  </si>
  <si>
    <t>Felhalmozási célú céltartalékok</t>
  </si>
  <si>
    <t xml:space="preserve">          - Beiskolázási támogatás</t>
  </si>
  <si>
    <t>VMJV Polgármesteri Hivatal összesen:</t>
  </si>
  <si>
    <t>Egyéb működési célú kiadások</t>
  </si>
  <si>
    <t>Működési költségvetési                                                                         kiadások</t>
  </si>
  <si>
    <r>
      <rPr>
        <b/>
        <sz val="10"/>
        <rFont val="Palatino Linotype"/>
        <family val="1"/>
        <charset val="238"/>
      </rPr>
      <t>TOP – 6.9.2 -16-VP1-2018-00001</t>
    </r>
    <r>
      <rPr>
        <sz val="10"/>
        <rFont val="Palatino Linotype"/>
        <family val="1"/>
        <charset val="238"/>
      </rPr>
      <t xml:space="preserve"> Közösségfejlesztés Veszprém város településrészein</t>
    </r>
  </si>
  <si>
    <t xml:space="preserve"> - Adóbevételekkel szembeni kötelezettség</t>
  </si>
  <si>
    <t>Óvodák összesen:</t>
  </si>
  <si>
    <t>Egészségügyi és szociális intézmények összesen:</t>
  </si>
  <si>
    <t>Kulturális és közművelődési intézmények összesen:</t>
  </si>
  <si>
    <t xml:space="preserve">Előir. csop. </t>
  </si>
  <si>
    <t>Kie-melt előir.</t>
  </si>
  <si>
    <t xml:space="preserve">Kie-melt előir. </t>
  </si>
  <si>
    <t xml:space="preserve"> Erdei és Kuckó Tagóvoda</t>
  </si>
  <si>
    <t>Önkormányzati működési kiadások</t>
  </si>
  <si>
    <t>INTÉZMÉNYEK BERUHÁZÁSI KIADÁSAI ÖSSZESEN:</t>
  </si>
  <si>
    <t>VMJV  Polgármesteri Hivatal beruházási kiadásai összesen:</t>
  </si>
  <si>
    <t>BERUHÁZÁSI KIADÁSOK MINDÖSSZESEN:</t>
  </si>
  <si>
    <t>Vízrendezési feladatok, árkok felújítása</t>
  </si>
  <si>
    <t>Programiroda Kft. törzstőke emelés</t>
  </si>
  <si>
    <t xml:space="preserve">Programiroda Kft. tőketartalékba helyezés </t>
  </si>
  <si>
    <t>Veszprém - Balaton 2023 Zrt. törzstőke emelés</t>
  </si>
  <si>
    <t>Veszprém - Balaton 2023 Zrt. tőketartalékba helyezés</t>
  </si>
  <si>
    <t>Gyulafirátóti Bölcsőde</t>
  </si>
  <si>
    <t>Közösség Kádártáért Egyesület</t>
  </si>
  <si>
    <t>Virágzó Veszprém Egyesület</t>
  </si>
  <si>
    <t>Gerence Hagyományőrző Néptáncegyüttes támogatása</t>
  </si>
  <si>
    <t xml:space="preserve">            - Civil irodai szolgáltatások, civil ház</t>
  </si>
  <si>
    <t xml:space="preserve">            - Civil nap költségei</t>
  </si>
  <si>
    <t>Pszichiátriai betegek nappali ellátás ("Horgony" Pszichiátriai Betegekért Közhasznú Alapítvány)</t>
  </si>
  <si>
    <t>Intézményi karbantartási költségek</t>
  </si>
  <si>
    <t>Intézményi közüzemi költségek</t>
  </si>
  <si>
    <t>Kolostorok és kertek működtetése</t>
  </si>
  <si>
    <t xml:space="preserve">          - Comitatus Társadalomkutató Egyesület - Comitatus Önkormányzati Szemle</t>
  </si>
  <si>
    <t>** Az intézményeknél kimutatott adatokat is tartalmazza</t>
  </si>
  <si>
    <t>ERASMUS+ Program</t>
  </si>
  <si>
    <t>Informatika</t>
  </si>
  <si>
    <t xml:space="preserve">          - Vészhelyzeti támogatás (krízis segély)</t>
  </si>
  <si>
    <t>Ebrendészeti feladatok</t>
  </si>
  <si>
    <t>Európa Ifjúsági Fővárosa 2024 pályázat benyújtása</t>
  </si>
  <si>
    <t xml:space="preserve">          - Ex Symposion Alapítvány</t>
  </si>
  <si>
    <t>Népszámlálás 2022.</t>
  </si>
  <si>
    <t xml:space="preserve">Európai Fenntartható Városfejlesztési Hálózat "Global Goals for Cities" Urbact III. </t>
  </si>
  <si>
    <t>Önkormányzati érdekeket érintő településrendezési eszközök módosítása</t>
  </si>
  <si>
    <t>Állatkerti bekötőút kiviteli terv</t>
  </si>
  <si>
    <t>Közterületi játszóeszközök felújítása (78/2003 GKM rendelet)</t>
  </si>
  <si>
    <t>Önkormányzati bérlakások felújítása</t>
  </si>
  <si>
    <t>Köztéri padok felújítása</t>
  </si>
  <si>
    <t>Labdapályák és sporteszközök felújítása</t>
  </si>
  <si>
    <t xml:space="preserve">          - Magyar Mozgógép Fesztivál</t>
  </si>
  <si>
    <t xml:space="preserve">          - Bakony Expo</t>
  </si>
  <si>
    <t>Városgazdálkodási szolgáltatás</t>
  </si>
  <si>
    <t xml:space="preserve"> - Projekt kiadásokhoz kapcsolódó céltartalék</t>
  </si>
  <si>
    <t>Programiroda - városi nagyrendezvények</t>
  </si>
  <si>
    <t>Regőczi István Alapítvány - Covid árvák megsegítésének támogatása</t>
  </si>
  <si>
    <r>
      <t xml:space="preserve">TOP-7.1.1-16-H-ESZA-202-01419 </t>
    </r>
    <r>
      <rPr>
        <sz val="10"/>
        <rFont val="Palatino Linotype"/>
        <family val="1"/>
        <charset val="238"/>
      </rPr>
      <t>Veszprém Vár múltjának interaktív bemutatása</t>
    </r>
  </si>
  <si>
    <t>ebből: - Európa Kulturális Főváros XX. ütem</t>
  </si>
  <si>
    <t>Sport és Élsport</t>
  </si>
  <si>
    <t>Szabadidő- és Diáksport</t>
  </si>
  <si>
    <t>Programiroda Kft. - kulturális, művészeti rendezvények támogatása</t>
  </si>
  <si>
    <t>Könyvtári könyvek, egyéb doc. (CD, DVD stb.) jogszabályi előírás szerint</t>
  </si>
  <si>
    <t>Tűzjelző rendszer megvalósítás</t>
  </si>
  <si>
    <t>Gépkocsi gumiabroncs beszerzés</t>
  </si>
  <si>
    <t>Csereerdő telepítés - Márkó-Bánd kerékpárút</t>
  </si>
  <si>
    <t>Előirányzat csoport / Kiemelt előirányzat neve</t>
  </si>
  <si>
    <t>Helyi önkormányzatok működésének általános támogatása</t>
  </si>
  <si>
    <t>Települési önkormányzatok egyes köznevelési feladatainak támogatása</t>
  </si>
  <si>
    <t>Települési önkormányzatok egyes szociális és gyermekjóléti feladatainak támogatása</t>
  </si>
  <si>
    <t>Települési önkormányzatok kulturális feladatainak támogatása</t>
  </si>
  <si>
    <t>Elszámolásból származó bevételek</t>
  </si>
  <si>
    <t>Települési önkormányzatok gyermekétkeztetési feladatainak támogatása</t>
  </si>
  <si>
    <t>Epipen injekció biztosítása gyermekjóléti, köznevelési intézményekben és házi gyermekorvosi rendelőkben</t>
  </si>
  <si>
    <t xml:space="preserve">    eredeti előirányzat</t>
  </si>
  <si>
    <t>Választókerületi keretek</t>
  </si>
  <si>
    <t>Humanitárius katasztrófa miatt érkező menekültek elhelyezési költségei</t>
  </si>
  <si>
    <t>Sportmarketing</t>
  </si>
  <si>
    <t>Veszprém-Gyulafirátót Pásztor utca feletti csapadékvíz elöntés védekezés és kárelhárítás költségeire</t>
  </si>
  <si>
    <t>Veszprém monográfia tárhely</t>
  </si>
  <si>
    <t>Népi építészeti Program - Bakonyi Ház megújítása</t>
  </si>
  <si>
    <t>Humanitárius katasztrófa miatt érkező menekültek ellátási (élelmezési) költségei</t>
  </si>
  <si>
    <t>Telefonbeszerzések</t>
  </si>
  <si>
    <t xml:space="preserve"> - Választókerületi keret</t>
  </si>
  <si>
    <t xml:space="preserve"> - Működési kiadásokra képzett céltartalék </t>
  </si>
  <si>
    <t>Tirat Carmel utca kisajátítás</t>
  </si>
  <si>
    <t>10 000 lakos feletti önkormányzatok energiaáremelkedés miatti támogatás</t>
  </si>
  <si>
    <t>TOP Plusz 1.3-1-21_VEI_2022-00002 Veszprém város fenntartható városfejlesztési stratégiái</t>
  </si>
  <si>
    <t>V-Busz Kft. - autóbusz vásárlás beruházási hitel tőketörlesztése</t>
  </si>
  <si>
    <t xml:space="preserve">           Menekültek megsegítésére nyújtott adomány</t>
  </si>
  <si>
    <t xml:space="preserve">Kisértékű tárgyi eszköz beszerzések </t>
  </si>
  <si>
    <t>ebből:  -Vár Ucca Műhely támogatása</t>
  </si>
  <si>
    <t>Teljes költség**</t>
  </si>
  <si>
    <t>Környezetvédelmi Alap bevételei</t>
  </si>
  <si>
    <t>Fakivágási kompenzáció bevételei</t>
  </si>
  <si>
    <t>Polgármesteri Hivatal közhatalmi bevételei</t>
  </si>
  <si>
    <t xml:space="preserve"> - Zöldfelületek minőségi megőrzésének kiadásaira (fakivágási kompenzáció)</t>
  </si>
  <si>
    <t xml:space="preserve"> - Településrendezési szerződésből befolyt összeg</t>
  </si>
  <si>
    <t xml:space="preserve"> - Beruházási kiadásokra képzett céltartalék/lakásalap                     </t>
  </si>
  <si>
    <t xml:space="preserve"> - Beruházási kiadásokra képzett céltartalék</t>
  </si>
  <si>
    <t>Urbact fenntartható városfejlesztési hálózat IV. "BiodiverCity" - városi biológiai sokféleség megőrzése, minőségi támogatása és fejlesztése - dologi kiadások</t>
  </si>
  <si>
    <t>Urbact fenntartható városfejlesztési hálózat IV. "NextGen Youth Work" - ifjúságszakmai fejlesztések a fiatalok bevonásának és a digitalizáció előnyeinek tudatosítás és kihasználása az ifjúsági munkások körében - dologi kiadások</t>
  </si>
  <si>
    <t>2023. évi tény</t>
  </si>
  <si>
    <t>Urbact fenntartható városfejlesztési hálózat IV. "BiodiverCity" - városi biológiai sokféleség megőrzése, minőségi támogatása és fejlesztése</t>
  </si>
  <si>
    <t>Urbact fenntartható városfejlesztési hálózat IV. "NextGen Youth Work" - ifjúságszakmai fejlesztések a fiatalok bevonásának és a digitalizáció előnyeinek tudatosítás és kihasználása az ifjúsági munkások körében</t>
  </si>
  <si>
    <t>Interreg Danube NONA</t>
  </si>
  <si>
    <t>Interreg Europa RROXIMITIES</t>
  </si>
  <si>
    <t>Driving Urban Transition SUMODO</t>
  </si>
  <si>
    <t>Köztéri műalkotások rekonstrukciója</t>
  </si>
  <si>
    <t>Kádártai Faluház</t>
  </si>
  <si>
    <t>Dózsa Könyvtár melléképület felújítása</t>
  </si>
  <si>
    <t>Fűtési rendszer felújítása</t>
  </si>
  <si>
    <t>Dubniczay-palota (Vár u. 29.)</t>
  </si>
  <si>
    <t>Fűtésrendszer korszerűsítése</t>
  </si>
  <si>
    <t>Kertészeti felújítások, őszi fásítás tervezése és kivitelezése</t>
  </si>
  <si>
    <t>Kossuth u. locsolórendszer felújítása</t>
  </si>
  <si>
    <t>Szociális bérlakás felújítások</t>
  </si>
  <si>
    <t>ebből: - VeszprémFest</t>
  </si>
  <si>
    <t xml:space="preserve">          - Kabóciádé</t>
  </si>
  <si>
    <t xml:space="preserve">          - Rátonyi Róbert Operettfesztivál</t>
  </si>
  <si>
    <t xml:space="preserve">          - Lélektől Lélekig</t>
  </si>
  <si>
    <t xml:space="preserve">          - Brusznyai Árpád évfordulós kötet kiadása</t>
  </si>
  <si>
    <t xml:space="preserve">          - Veszprémi Várostörténeti Monográfia előkészítése</t>
  </si>
  <si>
    <t xml:space="preserve">          - Darcsi István - Veszprém város sporttörténete</t>
  </si>
  <si>
    <t xml:space="preserve">          - Senior Kisokos</t>
  </si>
  <si>
    <t xml:space="preserve">          - Négy évszak a Bakonyban</t>
  </si>
  <si>
    <t xml:space="preserve"> - Gárdonyi Zoltán Zenekarért Alapítvány</t>
  </si>
  <si>
    <t>Magyar Kórusok találkozója</t>
  </si>
  <si>
    <t>Filharmónia koncertek támogatása</t>
  </si>
  <si>
    <t>Oktatási intézmények támogatása</t>
  </si>
  <si>
    <t xml:space="preserve">            - Nyugdíjas találkozó</t>
  </si>
  <si>
    <t xml:space="preserve">           - Ifjúsági koncepció megvalósításának végrehajtása</t>
  </si>
  <si>
    <t xml:space="preserve">           - Ifjúsági kötelező feladatok ellátása</t>
  </si>
  <si>
    <t xml:space="preserve">         - Letelepedési támogatás</t>
  </si>
  <si>
    <t>Keresztény Értelmiségek támogatása</t>
  </si>
  <si>
    <t>Szabad-Sajtó Kulturális és Ifjúsági Közhasznú Egyesület</t>
  </si>
  <si>
    <t>Veszprémi Rendőrkapitányság támogatása</t>
  </si>
  <si>
    <t>Nobel program támogatása</t>
  </si>
  <si>
    <t>Diabetes Világnap</t>
  </si>
  <si>
    <t>Hulladékkezelés költsége</t>
  </si>
  <si>
    <t>Ipari és gyártási szakirányú pályaorientációs foglalkozások tartása</t>
  </si>
  <si>
    <t>Swing-Swing Kft. - Családika program</t>
  </si>
  <si>
    <t>Magyar Lélek Alapítvány támogatása</t>
  </si>
  <si>
    <t>Beruházásokhoz kapcsolódó költöztetési feladatok</t>
  </si>
  <si>
    <t>Országos Mentőszolgálat</t>
  </si>
  <si>
    <t>Alkohol és Drogsegély Ambulancia Napsugár Klub</t>
  </si>
  <si>
    <t>Jutasi 100 emlékprogram</t>
  </si>
  <si>
    <t>Brusznyai Árpád születésének 100. évfordulója</t>
  </si>
  <si>
    <t>Szeglethy György születésének 170. évfordulója</t>
  </si>
  <si>
    <t>"Digitális élményközpontok hálózatának kialakítása és központi minőségbiztosítása" projekt üzemeltetési költsége</t>
  </si>
  <si>
    <t>Szent Imre Alapítvány támogatása</t>
  </si>
  <si>
    <t>Építész Kiállítás 2024 támogatása</t>
  </si>
  <si>
    <t>Pegazus Színház Közhasznú Nonprofit Kft. támogatása</t>
  </si>
  <si>
    <t>Kulturális kínálat bővítés</t>
  </si>
  <si>
    <t>Beruházásokhoz kapcsolódó ingatlanrendezési feladatok</t>
  </si>
  <si>
    <t>Helyi védett épületek bejegyzése</t>
  </si>
  <si>
    <t>Veszprém 8713/2 hrsz.-ú – természetben a Veszprém Sportuszoda és az Aréna között található – ingatlanból kialakuló 10.958 m² nagyságú „kivett beépítetlen terület” megnevezésű ingatlan elidegenítése</t>
  </si>
  <si>
    <t xml:space="preserve">Szán utca - Méhes  u. csapadékvíz elvezetés (útrek. előtt) I. ütem: Cs-1-0-0 </t>
  </si>
  <si>
    <t>Veszprém, Batthyány Lajos utca parkoló tervezés</t>
  </si>
  <si>
    <t>Veszprém-Gyulafirátót Északi fejlesztési terv úthálózat fejlesztés tervezés</t>
  </si>
  <si>
    <t>Bakony Társasház belső gáz és központifűtés rendszer felújítása, valamint villamos hálózat felújításának tervezési munkái</t>
  </si>
  <si>
    <t>Dubniczay-palota (Vár u. 29.) homlokzat és nyílászáró felújítás</t>
  </si>
  <si>
    <t>VKTT Egyesített Szociális Intézmény 2. sz. Idősek Otthona (Völgyikút u. 2.) lift korszerűsítése (csere)</t>
  </si>
  <si>
    <t>Sólyi utca parkoló kialakítása</t>
  </si>
  <si>
    <t>Útkataszter I. ütem</t>
  </si>
  <si>
    <t>Támfalkataszter elkészítése</t>
  </si>
  <si>
    <t>Energetikai korszerűsítés tervezése</t>
  </si>
  <si>
    <t>Vilonyai utcában meglévő párhuzamos parkolók átépítése</t>
  </si>
  <si>
    <t>Török Ignác utcában lévő parkoló csapadékvíz elvezetésének megoldása (tervezés, engedélyezés, kivitelezés)</t>
  </si>
  <si>
    <t>Veszprém települési és turisztikai kártya</t>
  </si>
  <si>
    <t>Kemecse utcában meglévő gyalogátkelő átalakítása</t>
  </si>
  <si>
    <t>Gyulafirátót településrészen meglévő játszótérhez járda tervezése, engedélyezése</t>
  </si>
  <si>
    <t>Wass Albert szobor elhelyezése közterületen</t>
  </si>
  <si>
    <t>Millenniumi Emlékmű új helyszínen történő felállítása</t>
  </si>
  <si>
    <t>Veszprém, Ibolya utcában járda kialakításának tervezés, hatósági ügyintézés</t>
  </si>
  <si>
    <t xml:space="preserve"> - ebből: 1. vk. Veszprém-Gyulafirátót Római Katolikus Templom (Nepomuki Szent János-templom elemi károk elhárításához javasolt összeg)</t>
  </si>
  <si>
    <t xml:space="preserve">Kisértékű tárgyi eszközök beszerzése </t>
  </si>
  <si>
    <t>Iskolavédőnők, iskolaorvosok, háziorvosi praxisok</t>
  </si>
  <si>
    <t>Számítástechnikai eszközök beszerzése</t>
  </si>
  <si>
    <t>Kisértékű tárgyi eszközök beszerzése</t>
  </si>
  <si>
    <t>Polcrendszer bővítés</t>
  </si>
  <si>
    <t>Leltározási program beszerzés</t>
  </si>
  <si>
    <t xml:space="preserve"> - Közüzemi költségekre képzett céltartalék</t>
  </si>
  <si>
    <t xml:space="preserve">         - Városi Szemle folyóirat kiadása - Veszprémi Szemle Várostörténeti Közhasznú Alapítvány</t>
  </si>
  <si>
    <t xml:space="preserve">          - Szeglethy György kötet kiadásának támogatása (Veszprémi Szemle Várostörténeti KHA)</t>
  </si>
  <si>
    <t>V-Bike közbringa rendszer üzemeltetése (közszolgáltatási feladatok II.)</t>
  </si>
  <si>
    <t>Szolgáltatás vásárlás (közszolgáltatási feladatok I.)</t>
  </si>
  <si>
    <t>Városi fenntarthatósággal összefüggő feladatok ellátása</t>
  </si>
  <si>
    <t xml:space="preserve">Egyéb működési bevételek </t>
  </si>
  <si>
    <t>Működési célú költségvetési maradvány igénybevétele</t>
  </si>
  <si>
    <t xml:space="preserve"> - Víziközmű fejlesztés</t>
  </si>
  <si>
    <t xml:space="preserve">          - Tóth József - Tóth Józsi egy diszkós kalandjai a Bakony Művektől Barbadosig című könyv támogatása</t>
  </si>
  <si>
    <t>Beruházásokhoz kapcsolódó energetikai tanúsítvány</t>
  </si>
  <si>
    <t>"Kapaszkodó" Mentálhigiénés Egyesület támogatása</t>
  </si>
  <si>
    <t>Településképi Arculati Kézikönyv és Településképi rendelet módosítása</t>
  </si>
  <si>
    <t>Fixre telepített sebességmérő (traffipax) - Gyulafirátótra</t>
  </si>
  <si>
    <t>Művészetek Háza Veszprém épületeinek felújítása (tetőhéjalás javítás, homlokzat felújítás, nyílászáró csere)</t>
  </si>
  <si>
    <t>Földutak és nagyfelületű útfelújítások</t>
  </si>
  <si>
    <t>2024. évi eredeti előirányzat</t>
  </si>
  <si>
    <t>Mikszáth Kálmán u. 13. épület külső főfalainak víztelenítése</t>
  </si>
  <si>
    <t>Ister DTP Interreg Projekt</t>
  </si>
  <si>
    <t xml:space="preserve">          - Erős Hit, Erős Akarat c. kötet kiadásának támogatása (Veszprémi Szemle Várostörténeti KHA)</t>
  </si>
  <si>
    <t>Német Nemzetiségi Önk. helyiségének bérleti díja</t>
  </si>
  <si>
    <t>Kittenberger K. Növény- és Vadaspark Nonprofit Kft. működéséhez hozzájárulás</t>
  </si>
  <si>
    <t>Vagyongazdálkodással és ingatlanhasznosítással összefüggő fel. (földhivatali eljárások, vagyonértékelés)</t>
  </si>
  <si>
    <t>Volánbusz Zrt. szolgáltató részére elővárosi és regionális járatokon történő helyi személyszállítási közszolgáltatási feladatok ellátásához hozzájárulás</t>
  </si>
  <si>
    <t>Közterület-felügyelet</t>
  </si>
  <si>
    <t>Handball Team Zrt. szolgáltatás vásárlás</t>
  </si>
  <si>
    <t xml:space="preserve">2027. évi Tájékozódási Futó Világbajnokság </t>
  </si>
  <si>
    <t>Fal- és tetőbeázás megszüntetése (utcafront felöli fal, AM mosdó)</t>
  </si>
  <si>
    <t>Tulajdonosi bevételek</t>
  </si>
  <si>
    <t>Élhetőbb Rátótért Egyesület</t>
  </si>
  <si>
    <t>2025. évi előirányzat</t>
  </si>
  <si>
    <t>2025. év utáni javaslat</t>
  </si>
  <si>
    <t>Kutyafuttató park kialakítás</t>
  </si>
  <si>
    <t>ReAct Veszprém a fenntarthatóság útján - Erasmus+ Ifjúsági részvételi tevékenységek</t>
  </si>
  <si>
    <t>TOP_Plusz-6.1.4-23--VE-2024-00001 Aktív turizmus fejlesztése a Bakony térségben</t>
  </si>
  <si>
    <t>Nemzetközi projektek projekten belül el nem számolható költségei</t>
  </si>
  <si>
    <t xml:space="preserve">Interreg Európa Program "HEROES" Projekt </t>
  </si>
  <si>
    <t>Európai Városi Kezdeményezés (EUI) SATECH-FOR-FOODHUB projekt</t>
  </si>
  <si>
    <t>Európai Városi Kezdeményezés (EUI) FOOTPRINTS transzfer projekt</t>
  </si>
  <si>
    <t>Erasmus+ KA153YOU: mobilitás ifjúsági munkások számára</t>
  </si>
  <si>
    <t>NETZero Cites - Twin City pályázati program</t>
  </si>
  <si>
    <t>2025. évi felújítási kiadások előirányzata</t>
  </si>
  <si>
    <t>Felsőörsi raktárbázis nyílászáró csere</t>
  </si>
  <si>
    <t>Önkormányzati ingatlan energetikai célú felújítása</t>
  </si>
  <si>
    <t>2025. évi beruházási és egyéb felhalmozási célú kiadások előirányzata</t>
  </si>
  <si>
    <t>HÉSZ Településterv felülvizsgálat</t>
  </si>
  <si>
    <t>Szabadság tér közmű- és útrekonstrukció</t>
  </si>
  <si>
    <t>Városrész közlekedési koncepció elkészítése</t>
  </si>
  <si>
    <t>Szabadságpusztai kemence</t>
  </si>
  <si>
    <t>Veszprém 4086/87 hrsz.-ú ingatlan egy része tulajdonjogának adásvétel jogcímén történő megvásárlása</t>
  </si>
  <si>
    <t>Mentálhigiénés nappali ellátás kiépítése a Török Ignác utcai idősellátó egységhez kapcsolódóan és a Hóvirág utcai idősellátás korszerűsítése, demens nappali mentálhigiénés ellátás feltételrendszerének kialakításával</t>
  </si>
  <si>
    <t>Új nappali foglalkoztató létesítése fogyatékkal élő felnőttek számára a Kőhíd utcában</t>
  </si>
  <si>
    <t>Jutasi út-Kopácsi utca, Jutasi út-Bagolyvári út körforgalom</t>
  </si>
  <si>
    <t>Veszprém, Uszoda átalakítása Futsal csarnokká - koncepcióterv készítése</t>
  </si>
  <si>
    <t>Deák Ferenc u. 13. számú ingatlan energetikai fejlesztése</t>
  </si>
  <si>
    <t>Egyetemváros területén járda tervezés</t>
  </si>
  <si>
    <t>Szél utca gyalogátkelő tervezés</t>
  </si>
  <si>
    <t>Ady Endre utcában parkoló átalakításának tervezése</t>
  </si>
  <si>
    <t>Veszprém Ibolya utcában járda kialakítása</t>
  </si>
  <si>
    <t>Felnőtt háziorvosi rendelők akadálymentesítése</t>
  </si>
  <si>
    <t>Görgey Artúr utca kutyafuttató közvilágítás bővítése</t>
  </si>
  <si>
    <t>Zirci utcai temetőnél járda és lépcső építése</t>
  </si>
  <si>
    <t>Mártírok úti parkolóház építése</t>
  </si>
  <si>
    <t>Fenntartható humán fejlesztések (ESZA)</t>
  </si>
  <si>
    <t>Veszprém Aréna-Veszprém Sportuszoda közötti út építése</t>
  </si>
  <si>
    <t>Kék infrastruktúra</t>
  </si>
  <si>
    <t>Belterületi útfejlesztés</t>
  </si>
  <si>
    <t>Általános iskolák rekonstrukciós munkái</t>
  </si>
  <si>
    <t>Agóra Veszprém Kulturális Központ - Agóra tantermek kialakítása</t>
  </si>
  <si>
    <t>Zirci utca gyalogátkelő tervezés</t>
  </si>
  <si>
    <t>Veszprémi Ringató és Csillag óvodák klímabeszerzése</t>
  </si>
  <si>
    <t>Városháza "A" épület nyílászáró csere</t>
  </si>
  <si>
    <t>Március 15. utcában található 30507/90 hrsz.-ú ingatlanon lévő uszoda funkcióváltása és felújítása</t>
  </si>
  <si>
    <t>Szabadság tér - Adóiroda vizesblokk felújítása</t>
  </si>
  <si>
    <t>Önkormányzati feladatok és egyéb kötelezettségek 2025. évi működési költségvetési kiadásai</t>
  </si>
  <si>
    <t xml:space="preserve">         - Gyárkert Fesztivál</t>
  </si>
  <si>
    <t xml:space="preserve">         - Veszprémi Régizenei Napok</t>
  </si>
  <si>
    <t>Területfejlesztési Alapba történő befizetési kötelezettség</t>
  </si>
  <si>
    <t xml:space="preserve">Peres ügyek, kártérítési díjak </t>
  </si>
  <si>
    <t>Zöldkár helyreállítások ellátása</t>
  </si>
  <si>
    <t>Uszodajárat támogatása</t>
  </si>
  <si>
    <t>Agyhártyagyulladás elleni védőoltás középiskolai tanulmányait adott évben megkezdő gyermekek részére</t>
  </si>
  <si>
    <t>Helyi Esélyegyenlőségi Program intézkedési tervében foglalt feladatok</t>
  </si>
  <si>
    <t>Idősügyi Koncepció intézkedési tervében foglalt feladatok</t>
  </si>
  <si>
    <t>Veszprém Podcast</t>
  </si>
  <si>
    <t>Kamaszbarát Önkormányzat cím megpályázása</t>
  </si>
  <si>
    <t>Otthonra találni a művészetben projekt támogatása</t>
  </si>
  <si>
    <t>Részvételi költségvetés</t>
  </si>
  <si>
    <t>European Urban Initiative, „TOPIC 2: Technology in cities” pályázat benyújtása</t>
  </si>
  <si>
    <t>Adventi programok</t>
  </si>
  <si>
    <t>Téli Gyárkert 2024.</t>
  </si>
  <si>
    <t>Sportrégió pályázat</t>
  </si>
  <si>
    <t>Belföldi értékpapír beváltása, visszavásárlása</t>
  </si>
  <si>
    <t>2025. évi eredeti előirányzat</t>
  </si>
  <si>
    <t>2025. évi   eredeti előirányzat</t>
  </si>
  <si>
    <t>Belföldi értékpapír vásárlása</t>
  </si>
  <si>
    <t>2023. évi              tény</t>
  </si>
  <si>
    <t>2025. évi költségvetési bevételei</t>
  </si>
  <si>
    <t>2025. évi költségvetési kiadásai</t>
  </si>
  <si>
    <t xml:space="preserve">Via Calvaria Program </t>
  </si>
  <si>
    <t>Önkormányzati épületek energiahatékonysági vizsgálata</t>
  </si>
  <si>
    <t>Pannon Kultúrklub támogatása</t>
  </si>
  <si>
    <t>Veszprém - Rovaniemi testvérvárosi kapcsolat 50 éves jubileumi támogatása</t>
  </si>
  <si>
    <t>Szilágyi Táncegyüttes Alapítvány támogatása</t>
  </si>
  <si>
    <t>AutiSpektrum Egyesület támogatása</t>
  </si>
  <si>
    <t>Sportrégió pályázat regisztrációs díja</t>
  </si>
  <si>
    <t>Minerva Tanulási Alapítvány támogatása</t>
  </si>
  <si>
    <t>Pannon Egyetem támogatása</t>
  </si>
  <si>
    <t>2025. évi bevételi előirányzat</t>
  </si>
  <si>
    <t>2025. évi kiadási előirányzat</t>
  </si>
  <si>
    <t>2025. évi európai parlamenti, helyi önkormányzati és nemzetiségi önkormányzati választások lebonyolítása / 2024. évi EPON</t>
  </si>
  <si>
    <t>KÖLTSÉGVETÉSI BEVÉTELEI ÉS KIADÁSAI 2025. ÉVBEN</t>
  </si>
  <si>
    <t>2025. évi felhalmozási költségvetési kiadásainak előirányzata</t>
  </si>
  <si>
    <t>Feladatellátás                            jellege</t>
  </si>
  <si>
    <t>2023. évi           tény</t>
  </si>
  <si>
    <t>15. sz. háziorvosi körzetbe bútorzat és informatikai eszközök, valamint Komakút téri fogorvosi rendelőkbe fogászati gépek beszerzése</t>
  </si>
  <si>
    <r>
      <t xml:space="preserve">Tárgyi eszközök beszerzése </t>
    </r>
    <r>
      <rPr>
        <i/>
        <sz val="10"/>
        <rFont val="Palatino Linotype"/>
        <family val="1"/>
        <charset val="238"/>
      </rPr>
      <t>(munkaállomások)</t>
    </r>
  </si>
  <si>
    <t>Új tűzjelző rendszer kiépítése a Mikszáth u. 13. székhelyen</t>
  </si>
  <si>
    <t>Európa Ege c. fotóművészeti alkotás - NKA pályázati támogatásból</t>
  </si>
  <si>
    <t>Képzőművészeti alkotás - NKA pályázati támogatásból</t>
  </si>
  <si>
    <t>Korszerű technikák, technológiai eszközök - NKA pályázati támogatásból</t>
  </si>
  <si>
    <t>Tegulárium Téglagyűjtemény eszközbeszerzés -  NKA pályázati támogatásból</t>
  </si>
  <si>
    <t>9 személyes kisbusz beszerzése</t>
  </si>
  <si>
    <t>Tehergépjármű raktérburkolás</t>
  </si>
  <si>
    <r>
      <t xml:space="preserve">Tárgyi eszköz beszerzés </t>
    </r>
    <r>
      <rPr>
        <i/>
        <sz val="10"/>
        <rFont val="Palatino Linotype"/>
        <family val="1"/>
        <charset val="238"/>
      </rPr>
      <t>(munkaállomások)</t>
    </r>
  </si>
  <si>
    <t>Bútorok, székek beszerzése</t>
  </si>
  <si>
    <t>5 személyes személygépkocsi vásárlás</t>
  </si>
  <si>
    <t>7 személyes kisbusz vásárlás</t>
  </si>
  <si>
    <t>a 2025. évi engedélyezett létszámról</t>
  </si>
  <si>
    <t>2025. 01. 01. engedélyezett létszám</t>
  </si>
  <si>
    <r>
      <t xml:space="preserve">Országos Dokumentumellátó Rendszer eszközbeszerzés </t>
    </r>
    <r>
      <rPr>
        <i/>
        <sz val="10"/>
        <rFont val="Palatino Linotype"/>
        <family val="1"/>
        <charset val="238"/>
      </rPr>
      <t>(könyvtári könyvek beszerzése)</t>
    </r>
  </si>
  <si>
    <t xml:space="preserve"> - Orlandó Énekegyüttes</t>
  </si>
  <si>
    <t>Támogatásból megvalósuló programok, projektek 2025. évi költségvetési kiadásainak előirányzata</t>
  </si>
  <si>
    <t>Európa Kulturális Fővárosa</t>
  </si>
  <si>
    <t>MKSZ Kézilabdacsarnok 2024. évi közüzemi díjak finanszírozása</t>
  </si>
  <si>
    <t>Komplex Integrált Települési Vízgazdálkodási Terv (ITVT) és komplex Vízrendezési akcióterv (VAT) és Fenntartható Városi Mobilitás Terv (SUMP) felülvizsgálat</t>
  </si>
  <si>
    <t>EKF 2024 kísérőprogramjai és utókommunikációja</t>
  </si>
  <si>
    <t>VESZOL - Veszprém, Pápai u. 37. sz. munkásszálló működtetési feladatai</t>
  </si>
  <si>
    <t>Csizmadia kerámiák restaurálása és elhelyezése</t>
  </si>
  <si>
    <t>XXVI. Magyar Ingatlanfejlesztési Nívódíj pályázat részvételi díja</t>
  </si>
  <si>
    <t>Köztéri szobrok, emléktáblák, lektorátus - Enn Uibo szobor</t>
  </si>
  <si>
    <t>Közművelődési szolgáltatás</t>
  </si>
  <si>
    <t>Veszprémi Családsegítő és Gyermekjóléti Integrált Int.</t>
  </si>
  <si>
    <t>Helikoni Ünnepségek Keszthelyen</t>
  </si>
  <si>
    <t>Önkormányzati Intézmények  működési célú támogatások Áht.-n belülről</t>
  </si>
  <si>
    <t xml:space="preserve">           Helyi Környezetvédelmi Alap bevételei</t>
  </si>
  <si>
    <t>Felhalmozási célú támogatások Áht.-n belülről</t>
  </si>
  <si>
    <t>Önkormányzati Intézmények felhalmozási célú támogatások Áht.-n belülről</t>
  </si>
  <si>
    <t xml:space="preserve"> - Intézményi felmentési idő, jub. jut., végkielégítés és működési kiadások</t>
  </si>
  <si>
    <t xml:space="preserve"> - Helyi Környezetvédelmi Alap</t>
  </si>
  <si>
    <t>Felhalmozási célú támogatás Áht.-n belülről</t>
  </si>
  <si>
    <t>Működési célú támogatás Áht.-n belülről</t>
  </si>
  <si>
    <t>Eötvös Károly Könyvtár</t>
  </si>
  <si>
    <t>Könyvtár kistelepülési könyvtári és közművelődési célú kiegészítő állami támogatás</t>
  </si>
  <si>
    <t>Munk.a. terh. jár. és szoc. hj. adó</t>
  </si>
  <si>
    <t>Veszprémi Kistérség Többcélú Társulásának pénzeszköz átadás (Egyesített Szoc. Int.)</t>
  </si>
  <si>
    <t>V-Busz Kft.</t>
  </si>
  <si>
    <t>Kapcsolat 96 Mentálhigiénés Egyesület</t>
  </si>
  <si>
    <t>2025. évi Tour de Hongrie támogatása</t>
  </si>
  <si>
    <t>Teljesítés                      2023.          12. 31-ig</t>
  </si>
  <si>
    <t>Ingatlanrendezési ügyek (kisajátítások, más célú haszn., humuszvédelmi terv, erdővédelmi járulék)</t>
  </si>
  <si>
    <t>Veszprém 0393/1 hrsz.-ú ingatlanon tervezett Állatvédelmi Kompetenciaközpont megépítése érdekében szükséges, szabályozási tervben foglalt út funkciójú ingatlan kisajátítás</t>
  </si>
  <si>
    <t>Közvilágítás bővítések (tervezés, kivitelezés) 2011. évi CLXXXIX. törvény</t>
  </si>
  <si>
    <t>Stadion utca 3-5. számú épületeknél parkoló tervezés</t>
  </si>
  <si>
    <t>Energiamenedzsment pályázat benyújtása</t>
  </si>
  <si>
    <t xml:space="preserve">TOP+ Általános iskolák pályázati megalapozó dokumentációk elkészítése </t>
  </si>
  <si>
    <t>Teljesítés 2023. 12. 31-ig</t>
  </si>
  <si>
    <t>Teljesítés                      2023.          12. 31.-ig**</t>
  </si>
  <si>
    <t xml:space="preserve">módosítás- </t>
  </si>
  <si>
    <t xml:space="preserve">          - Szabad Sajtó Kulturális és Ifjúsági Közhasznú Egyesület - Veszprém Portré magazin</t>
  </si>
  <si>
    <t>2025. évi eredeti  előirányzat</t>
  </si>
  <si>
    <t xml:space="preserve">    módosítás- </t>
  </si>
  <si>
    <t xml:space="preserve"> módosítás- </t>
  </si>
  <si>
    <t>2024. évi        tény</t>
  </si>
  <si>
    <t>Karos napellenző 2 db.</t>
  </si>
  <si>
    <t>Laptop 1 db.</t>
  </si>
  <si>
    <t>Kisértékű tárgyi eszközök beszerzése (udvari játszóeszköz, lóca, biciklitároló, konyhai berendezések és eszközök, tálalókocsi, hűtőszekrény, mikrohullámú sütő, salgó polc, infokommunikációs és informatikai eszközök, irodaeszközök és bútorzat, székek, asztalok, szőnyeg, iratmegsemmisítő, laptopok, asztali gépek, csoportszobai eszközök és bútorzat, tornatermi eszközök és bútorok, padok, karnis,)</t>
  </si>
  <si>
    <t>Kisértékű tárgyi eszközök beszerzése (ventilátor)</t>
  </si>
  <si>
    <t>Okostábla és állvány</t>
  </si>
  <si>
    <t>Rugós udvari játékok</t>
  </si>
  <si>
    <t>Bútorok</t>
  </si>
  <si>
    <t>Irodatechnikai gépek, berendezések</t>
  </si>
  <si>
    <t>Ajtóbehúzó</t>
  </si>
  <si>
    <t>Konyhai légkondicionáló</t>
  </si>
  <si>
    <t>Mozgásérzékelős lámpa, világítástechnika, színháztechnikai eszközök</t>
  </si>
  <si>
    <t>Kisértékű tárgyi eszközök beszerzése (konyhai és szakmai eszközök, bútorok)</t>
  </si>
  <si>
    <t>Kisértékű tárgyi eszközök beszerzése (szakmai eszközök, bútorok)</t>
  </si>
  <si>
    <t>Külső adattároló</t>
  </si>
  <si>
    <r>
      <t xml:space="preserve">Tárgyi eszközök beszerzése </t>
    </r>
    <r>
      <rPr>
        <i/>
        <sz val="10"/>
        <rFont val="Palatino Linotype"/>
        <family val="1"/>
        <charset val="238"/>
      </rPr>
      <t>(mikrohullámú sütő)</t>
    </r>
  </si>
  <si>
    <t>Számítógépek, munkaállomások</t>
  </si>
  <si>
    <t>Informatikai eszközök beszerzése (önkölcsönző, telefon, nyomtató, vonalkódolvasó, laptop, szervergép, RFID olvasó, hangfal)</t>
  </si>
  <si>
    <t>Tárgyi eszköz beszerzés ( lamináló, takarítógép, ventilátor, lapvágó, hűtő, árnyékoló szalagfüggöny, vágógép, hősugárzó, állományvédelmi kapu, telefontöltő állomás)</t>
  </si>
  <si>
    <t>Bútorbeszerzés (asztal, szék, polc, irodai szék, fotel)</t>
  </si>
  <si>
    <t>Kis földmunkagép</t>
  </si>
  <si>
    <t>Tűzriasztó rendszer felújítása Török u. 7.</t>
  </si>
  <si>
    <t>Zuhanyzók kialakítása</t>
  </si>
  <si>
    <t xml:space="preserve">Személygépkocsi vásárlás </t>
  </si>
  <si>
    <t>Térfigyelő rendszer fejlesztése</t>
  </si>
  <si>
    <t>Eötvös Károly Könyvtár fűtési rendszerébe tágulási tartály beszerzése</t>
  </si>
  <si>
    <t>Hatósági engedélyek beszerzése, hatályban tartása, E-építési napló rendszerhasználati díja</t>
  </si>
  <si>
    <t xml:space="preserve">Köztéri szobrok, emléktáblák, lektorátus </t>
  </si>
  <si>
    <t>Számítógép- és monitor cserék Win (11-re történő átállás)</t>
  </si>
  <si>
    <t>Wifi rendszer kiépítése (IT biztonság)</t>
  </si>
  <si>
    <t>Szervergép csere (IT biztonság, adatok mentése)</t>
  </si>
  <si>
    <t xml:space="preserve">          - Brusznyai Hangverseny</t>
  </si>
  <si>
    <t>Védőoltások támogatása</t>
  </si>
  <si>
    <t>2.vk. Veszprémi Deák Ferenc Általános Iskola - sorompó beszerzése és telepítése</t>
  </si>
  <si>
    <t>2.vk. 2 db pad beszerzése és kihelyezése a Pöltenberg Ernő utcai közpark keleti részében</t>
  </si>
  <si>
    <t xml:space="preserve"> 2. vk. 1 db Urban pad beszerzése és kihelyezése a Haszkovó utca 25. közelében</t>
  </si>
  <si>
    <t xml:space="preserve"> 2. vk. 4 db kutyaürülék-gyűjtő edény beszerzése és kihelyezése</t>
  </si>
  <si>
    <t>11. vk. 2 db Közterületi pad elhelyezése (régi cseréje) - Kiskőrösi utca, kavicsfogú álteknős szobor mellett</t>
  </si>
  <si>
    <t>1. vk. Kádárta Faluház sportpálya pad</t>
  </si>
  <si>
    <t xml:space="preserve"> 1. vk. Játszótér - járdaépítés</t>
  </si>
  <si>
    <t xml:space="preserve"> 8. vk. Kemence telepítése Szabadságpusztára</t>
  </si>
  <si>
    <t xml:space="preserve"> 2. vk.  VKTT Egyesített Szociális Intézmény I. sz. Idősek Otthonában kerti bútor beszerzése</t>
  </si>
  <si>
    <t>2. vk. 6 db "Tiszántúli" szemétgyűjtő beszerzése és kihelyezése</t>
  </si>
  <si>
    <t>2.vk. VKTT Egyesített Szociális Intézmény 1.sz. Idősek Otthonában betegágy beszerzésének támogatása</t>
  </si>
  <si>
    <t>4.vk. Haszkovó u. 18. mögötti szelektív hulladékgyűjtő sziget helyén 3 állásos parkoló kialakítása</t>
  </si>
  <si>
    <t>5.vk. Március 15. úti játszótér bekerítése</t>
  </si>
  <si>
    <t>3.vk. támogatása udvari játékokra</t>
  </si>
  <si>
    <t>3.vk. támogatása - udvari játékokra</t>
  </si>
  <si>
    <t>10.vk. Dózsa György Általános Iskola - Kül-és beltéri bútorok beszerzése</t>
  </si>
  <si>
    <t>2.vk. támogatása - udvari eszközök beszerzésére</t>
  </si>
  <si>
    <t xml:space="preserve"> - Esélyegyenlőségi feladatok megvalósítása</t>
  </si>
  <si>
    <t>12.vk. támogatása - készségfejlesztő eszközök beszerzésére</t>
  </si>
  <si>
    <t>7.vk. támogatása - árnyékoló beszerzésére</t>
  </si>
  <si>
    <t>2024. évi tény</t>
  </si>
  <si>
    <t>2024. évi     tény</t>
  </si>
  <si>
    <t>Informatikai eszközök beszerzése érdekeltségnövelő támogatásból</t>
  </si>
  <si>
    <t>2024. évi              tény</t>
  </si>
  <si>
    <t>Völgyhíd védőkorlát tervezése</t>
  </si>
  <si>
    <t>Jutas Őrmester túra</t>
  </si>
  <si>
    <t>Jutaspusztáért Egyesület támogatása - Közösségi sütőhely kialakítása Jutaspusztán</t>
  </si>
  <si>
    <t>Táplálékallergiás gyermekek részére étkeztetés biztosítása</t>
  </si>
  <si>
    <t>12.vk. Dózsa György Általános Iskola - játszótér bővítésére</t>
  </si>
  <si>
    <t>12.vk.támogatása Eötvös Károly Könyvtár Dózsavárosi Fiókkönyvtára - áramhálózat bővítése</t>
  </si>
  <si>
    <t>Önkormányzatiság kialakulásának évfordulója</t>
  </si>
  <si>
    <t>2024. évi              tény**</t>
  </si>
  <si>
    <t>Beruházások közműdíjai, közműszolgáltatások díjai</t>
  </si>
  <si>
    <t>VESZOL - Veszprém, Pápai u. 37. sz. munkásszálló működtetési feladatai – eszközpótlások (konyhai eszközök, felszerelések, bútorok, mosógép, szárítógép, párnák, matracok, takarók, monitor, ágyneműk, irodai eszközök, informatikai gépek, eszközök, TV, fagyasztó)</t>
  </si>
  <si>
    <t>Biztonsági kamerarendszer</t>
  </si>
  <si>
    <t>Cholnoky Jenő utca 19. szám alatti 17-18. számú felnőtt háziorvosi rendelő felújításának tervezése</t>
  </si>
  <si>
    <t>Parafa fal</t>
  </si>
  <si>
    <t>Asztali számítógép, laptopok vásárlása Windows programmal</t>
  </si>
  <si>
    <t>Informatikai eszközök, szoftverek</t>
  </si>
  <si>
    <t>Tárgyi eszközök beszerzése (összecsukható asztalok, szerszámkészletek, USB átalakítók, mikroport övek, tesztelő csomag, LED lámpák, UV derítő, gumiszőnyeg, tömlőkocsi készlet, akkus belövő, nyári gumik, fodrászcikkek, ruhagőzölő, olló, hajsütő, hajnyírógép, kefe, festőeszközök, ülepítő tartály, akkus belövő, telefonkészülékek, hűtőtáska, pohár, mosogató)</t>
  </si>
  <si>
    <t xml:space="preserve">          - Rasovszky Kristóf _ Szokolai László könyv</t>
  </si>
  <si>
    <t>SzeretFilm Stúdió Egyesület támogatása</t>
  </si>
  <si>
    <t>Orlando Egyesület támogatása</t>
  </si>
  <si>
    <t>10.vk. támogatása - Hársfa Tagóvoda - kerékpártároló kiépítése</t>
  </si>
  <si>
    <t>Kisértékű tárgyieszköz beszerzés (hűtőgép, telefon, vízforraló, informatikai, szakmai eszközök)</t>
  </si>
  <si>
    <t>ÖSSZEFOGLALÓ TÁBLA</t>
  </si>
  <si>
    <t xml:space="preserve">                </t>
  </si>
  <si>
    <t>I.</t>
  </si>
  <si>
    <t>BEVÉTELEK</t>
  </si>
  <si>
    <t>1.</t>
  </si>
  <si>
    <t>Helyi önkormányzatok általános működéséhez és ágazati feladataihoz kapcsolódó támogatás</t>
  </si>
  <si>
    <t>Ukrajnában kialakult fegyveres konfliktus miatt érkezett menekültek elhelyezésével, ellátásával felmerült költségek támogatása</t>
  </si>
  <si>
    <t>2.</t>
  </si>
  <si>
    <t>Egyéb működési célú támogatások</t>
  </si>
  <si>
    <t>Társadalombiztosítási Alapból származó támogatás</t>
  </si>
  <si>
    <t>3.</t>
  </si>
  <si>
    <t>Önkormányzati Intézmények működési célú támogatások Áht-on belülről</t>
  </si>
  <si>
    <t>Veszprémi Bölcsődei és Egészségügyi Alapellátási Integrált Intézmény - szakképzési hozzájárulás</t>
  </si>
  <si>
    <t>4.</t>
  </si>
  <si>
    <t>5.</t>
  </si>
  <si>
    <t>Önkormányzati intézmények működési bevételei</t>
  </si>
  <si>
    <t>Veszprémi Bölcsődei és Egészségügyi Alapellátási Integrált Intézmény - Kórháznak továbbszámlázott rezsi költségek bevétele</t>
  </si>
  <si>
    <t>6.</t>
  </si>
  <si>
    <t>7.</t>
  </si>
  <si>
    <t>Önkormányzati intézmények működési célú átvett pénzeszközök</t>
  </si>
  <si>
    <t>Polgármesteri Hivatal</t>
  </si>
  <si>
    <t>BEVÉTELEK ÖSSZESEN:</t>
  </si>
  <si>
    <t>II.</t>
  </si>
  <si>
    <t>KIADÁSOK</t>
  </si>
  <si>
    <t>VMJV Önkormányzat működési kiadások (6.Önk.műk.)</t>
  </si>
  <si>
    <t>Bevételi források változásából adódóan, valamint feladatok közötti átcsoportosításból</t>
  </si>
  <si>
    <t>Veszprémi Kistérségi Társulásnak pénzeszköz átadás (ESZI)</t>
  </si>
  <si>
    <t>Saját forrásból megvalósuló beruházási kiadásokhoz kapcsolódó működési kiadások (7.beruh)</t>
  </si>
  <si>
    <t>VMJV Önkormányzata működési kiadás mindösszesen</t>
  </si>
  <si>
    <t xml:space="preserve">Felhalmozási kiadások </t>
  </si>
  <si>
    <t xml:space="preserve">Beruházási kiadások </t>
  </si>
  <si>
    <t>Saját forrásból megvalósuló beruházási és felhalmozási kiadások (7.Beruh.)</t>
  </si>
  <si>
    <t>Beruházások összesen</t>
  </si>
  <si>
    <t>Támogatásból megvalósuló programok, projektek (9.Projekt)</t>
  </si>
  <si>
    <t>Beruházási és egyéb felhalmozási célú kiadások összesen</t>
  </si>
  <si>
    <t xml:space="preserve">Felújítási kiadások </t>
  </si>
  <si>
    <t>Felhalmozási kiadások összesen:</t>
  </si>
  <si>
    <t>INTÉZMÉNYI KIADÁSOK</t>
  </si>
  <si>
    <t xml:space="preserve">Intézményi felhalmozási költségvetés </t>
  </si>
  <si>
    <t>Intézmények összesen</t>
  </si>
  <si>
    <t>Működési célú céltartalék</t>
  </si>
  <si>
    <t>Felhalmozási célú céltartalék</t>
  </si>
  <si>
    <t>Tartalék összesen</t>
  </si>
  <si>
    <t>Kiadások összesen</t>
  </si>
  <si>
    <t>Engedélyezett létszám jogviszonyonkénti megbontása</t>
  </si>
  <si>
    <t xml:space="preserve"> - munkaviszony</t>
  </si>
  <si>
    <t xml:space="preserve"> - Választott tisztségviselők</t>
  </si>
  <si>
    <t>Köznevelési foglalkoztatotti jogviszony</t>
  </si>
  <si>
    <t>Közalkalmazotti jogviszony</t>
  </si>
  <si>
    <t>Munkaviszony</t>
  </si>
  <si>
    <t>Egészségügyi szolgálati jogviszony</t>
  </si>
  <si>
    <t>Közszolgálati jogviszony</t>
  </si>
  <si>
    <t>Választott tisztségviselők</t>
  </si>
  <si>
    <t xml:space="preserve"> - Munkaviszony</t>
  </si>
  <si>
    <t xml:space="preserve"> - Közszolgálati jogviszony</t>
  </si>
  <si>
    <t xml:space="preserve"> - Közalkalmazotti jogviszony</t>
  </si>
  <si>
    <t xml:space="preserve"> - Egészségügyi szolgálati jogviszony</t>
  </si>
  <si>
    <t xml:space="preserve"> - Köznevelési foglalkoztatotti jogviszony</t>
  </si>
  <si>
    <t>1. melléklet a 4/2025. (II.27.) önkormányzati rendelethez</t>
  </si>
  <si>
    <t>2. melléklet a 4/2025. (II.27.) önkormányzati rendelethez</t>
  </si>
  <si>
    <t>3. melléklet a 4/2025. (II.27.) önkormányzati rendelethez</t>
  </si>
  <si>
    <t>4. melléklet a 4/2025. (II.27.) önkormányzati rendelethez</t>
  </si>
  <si>
    <t>5. melléklet a 4/2025. (II.27.) önkormányzati rendelethez</t>
  </si>
  <si>
    <t>6. melléklet a 4/2025. (II.27.) önkormányzati rendelethez</t>
  </si>
  <si>
    <t>7. melléklet a 4/2025. (II.27.) önkormányzati rendelethez</t>
  </si>
  <si>
    <t>8. melléklet a 4/2025. (II.27.) önkormányzati rendelethez</t>
  </si>
  <si>
    <t>9. melléklet a 4/2025. (II.27.) önkormányzati rendelethez</t>
  </si>
  <si>
    <t>10. melléklet a 4/2025. (II.27) önkormányzati rendelethez</t>
  </si>
  <si>
    <t>11. melléklet az 4/2025. (II.27.) önkormányzati rendelethez</t>
  </si>
  <si>
    <t>15. melléklet az 4/2025. (II.27.) önkormányzati rendelethez</t>
  </si>
  <si>
    <t>a tárgyévi előirányzat-módosítások, előirányzat-átcsoportosítások összegszerű változásairól, indokairól</t>
  </si>
  <si>
    <t>2025. évi módosított előirányzat 2</t>
  </si>
  <si>
    <t xml:space="preserve"> módosítás-</t>
  </si>
  <si>
    <t xml:space="preserve"> módosított előirányzat 2</t>
  </si>
  <si>
    <t xml:space="preserve">    módosított előirányzat 2</t>
  </si>
  <si>
    <t>módosított előirányzat 2</t>
  </si>
  <si>
    <t xml:space="preserve">       módosítás- </t>
  </si>
  <si>
    <t xml:space="preserve">       módosított előirányzat 2</t>
  </si>
  <si>
    <t xml:space="preserve">        módosítás- </t>
  </si>
  <si>
    <t xml:space="preserve">        módosított előirányzat 2</t>
  </si>
  <si>
    <t>2025. évi közterhek megelőlegezése</t>
  </si>
  <si>
    <t>Vámosi úti temető bővítése</t>
  </si>
  <si>
    <t>VKTT Egyesített Szociális Intézmény 1. számú Idősek Otthona (Török Ignác u. 10.) - További alapmegerősítések tervezése, kivitelezése</t>
  </si>
  <si>
    <t>Informatikai eszközök beszerzése - Expertbook 8 db, antenna UBiQUti Wireless A.P.</t>
  </si>
  <si>
    <t>Kisértékű tárgyi eszközök beszerzése (szakmai eszközök)</t>
  </si>
  <si>
    <t>"BiodiverCity" esőkert telepítése</t>
  </si>
  <si>
    <t>Kisértékű tárgyi eszközök beszerzése (hulladéktároló edények)</t>
  </si>
  <si>
    <t>1 fő határozott idejű foglalkoztatás</t>
  </si>
  <si>
    <t>Komakút téri fogorvosi rendelőkbe autokláv</t>
  </si>
  <si>
    <t>Kisértékű tárgyieszköz vásárlás ( nyomtató, kuka, előadás díszlet, molinók, zászlók, roll-upok és előadáshoz kapcsolódó eszközbeszerzések, létra, zászló, szerszámok, színházi műszaki berendezések)</t>
  </si>
  <si>
    <t>Önkormányzat közhatalmi bevételei</t>
  </si>
  <si>
    <t>Helyi Környezetvédelmi Alap</t>
  </si>
  <si>
    <t>2025. július 1-től (Kádártai Közösségi Ház)</t>
  </si>
  <si>
    <t>Mester utca környékén akcióterületi terv</t>
  </si>
  <si>
    <t>Közterületek fejlesztésének tervezése Cholnokyvárosban</t>
  </si>
  <si>
    <t>Tüzér utcában járda építése és gyalogátkelőhely kialakítása</t>
  </si>
  <si>
    <t xml:space="preserve">          - Hegyi Zoltán: Garázsmenet könyv kiadása</t>
  </si>
  <si>
    <t>Veszprém-Nagytemplom Református Egyházközség Templomkert építészeti és kertészeti rendezésének támogatása</t>
  </si>
  <si>
    <t>Megyei Jogú Városok Szövetsége - Parajdot sújtó természeti katasztrófa megsegítésére</t>
  </si>
  <si>
    <t>Csapadékvíz elvezető árkok fenntartása</t>
  </si>
  <si>
    <t>Rendőrjárőrként felvett személyek támogatása</t>
  </si>
  <si>
    <t xml:space="preserve">Beruházási kiadásokra képzett céltartalék/lakásalap                     </t>
  </si>
  <si>
    <t>Adóbevételekkel szembeni kötelezettség</t>
  </si>
  <si>
    <t>Önkormányzat felhalmozási célú támogatások Áht.-n belülről</t>
  </si>
  <si>
    <t>8.</t>
  </si>
  <si>
    <t xml:space="preserve">           - "Otthon - Veszprémben"- önálló lakhatást, letelepedést elősegítő és helyi munkavállalást ösztönző támogatás (Veszprémi Ifjúsági Közalapítvány)</t>
  </si>
  <si>
    <t xml:space="preserve">           - Veszprémi újszülöttek támogatása (Veszprémi Ifjúsági Közalapítvány)</t>
  </si>
  <si>
    <t>Beruházások</t>
  </si>
  <si>
    <t>Felújítások</t>
  </si>
  <si>
    <t>FELHALMOZÁSI KIADÁSOK MINDÖSSZESEN:</t>
  </si>
  <si>
    <t>9.</t>
  </si>
  <si>
    <t>Árnyékolás 2 pavilon teraszán (napvitorla)</t>
  </si>
  <si>
    <t>Hóvirág Bölcsőde - Teraszárnyékoló 1 pavilonban</t>
  </si>
  <si>
    <t>Aprófalvi Bölcsőde - Árnyékoló felszerelése</t>
  </si>
  <si>
    <t>SZEOSZ - Mozgás Éjszakája 2025 program</t>
  </si>
  <si>
    <t>Meglévő tűzjelző rendszer felújítása a Mikszáth u. 13. székhelyen</t>
  </si>
  <si>
    <t>V-Busz Kft. - Új V-Bike kerékpárok beszerzése (40 db.), új V-bike állomás ActiCity, dokkolók (15 db), Jutaspuszta, Kisréti út - hiányzó burkolt buszmegálló kiadásaira</t>
  </si>
  <si>
    <t>Informatikai eszközök beszerzése - Expertbook 8 db.</t>
  </si>
  <si>
    <t>Amerikai Kuckó eszközbeszerzés</t>
  </si>
  <si>
    <t>Napvitorla felszerelése a Pöltenberg Ernő utcai játszótéren</t>
  </si>
  <si>
    <t>2025. évi engedélyezett létszám (2)</t>
  </si>
  <si>
    <t>2025. évi módosított előirányzat 3</t>
  </si>
  <si>
    <t>módosítás-</t>
  </si>
  <si>
    <t>módosított előirányzat 3</t>
  </si>
  <si>
    <t xml:space="preserve">       módosított előirányzat 3</t>
  </si>
  <si>
    <t xml:space="preserve">        módosított előirányzat 3</t>
  </si>
  <si>
    <t xml:space="preserve">    módosított előirányzat 3</t>
  </si>
  <si>
    <t xml:space="preserve"> módosított előirányzat 3</t>
  </si>
  <si>
    <t>2025. évi engedélyezett létszám (3)</t>
  </si>
  <si>
    <t>1. melléklet a 2025. évi költségvetésről szóló 4/2025. (II.27.) önkormányzati rendelet módosításáról szóló …./2025. (IX.25.) önkormányzati rendelethez</t>
  </si>
  <si>
    <t>2. melléklet a 2025. évi költségvetésről szóló 4/2025. (II.27.) önkormányzati rendelet módosításáról szóló …./2025. (IX.25.) önkormányzati rendelethez</t>
  </si>
  <si>
    <t>3. melléklet a 2025. évi költségvetésről szóló 4/2025. (II.27.) önkormányzati rendelet módosításáról szóló …./2025. (IX.25.) önkormányzati rendelethez</t>
  </si>
  <si>
    <t>4. melléklet a 2025. évi költségvetésről szóló 4/2025. (II.27.) önkormányzati rendelet módosításáról szóló …./2025. (IX.25.) önkormányzati rendelethez</t>
  </si>
  <si>
    <t>5. melléklet a 2025. évi költségvetésről szóló 4/2025. (II.27.) önkormányzati rendelet módosításáról szóló …./2025. (IX.25.) önkormányzati rendelethez</t>
  </si>
  <si>
    <t>6. melléklet a 2025. évi költségvetésről szóló 4/2025. (II.27.) önkormányzati rendelet módosításáról szóló …./2025. (IX.25.) önkormányzati rendelethez</t>
  </si>
  <si>
    <t>7. melléklet a 2025. évi költségvetésről szóló 4/2025. (II.27.) önkormányzati rendelet módosításáról szóló …./2025. (IX.25.) önkormányzati rendelethez</t>
  </si>
  <si>
    <t>8. melléklet a 2025. évi költségvetésről szóló 4/2025. (II.27.) önkormányzati rendelet módosításáról szóló …./2025. (IX.25.) önkormányzati rendelethez</t>
  </si>
  <si>
    <t>9. melléklet a 2025. évi költségvetésről szóló 4/2025. (II.27.) önkormányzati rendelet módosításáról szóló …./2025. (IX.25.) önkormányzati rendelethez</t>
  </si>
  <si>
    <t>10. melléklet a 2025. évi költségvetésről szóló 4/2025. (II.27.) önkormányzati rendelet módosításáról szóló …./2025. (IX.25.) önkormányzati rendelethez</t>
  </si>
  <si>
    <t>11. melléklet a 2025. évi költségvetésről szóló 4/2025. (II.27.) önkormányzati rendelet módosításáról szóló …./2025. (IX.25.) önkormányzati rendelethez</t>
  </si>
  <si>
    <t>12. melléklet a 2025. évi költségvetésről szóló 4/2025. (II.27.) önkormányzati rendelet módosításáról szóló …./2025. (IX.25.) önkormányzati rendelethez</t>
  </si>
  <si>
    <t>16. melléklet az 4/2025. (II.27.) önkormányzati rendelethez</t>
  </si>
  <si>
    <t>a Környezetvédelmi Alap felosztásáról</t>
  </si>
  <si>
    <t>Egyéb pótlékok, bírságok (talajterhelési díj)</t>
  </si>
  <si>
    <t>Működési célú költségvetési maradvány</t>
  </si>
  <si>
    <t>Bevételek összesen:</t>
  </si>
  <si>
    <t xml:space="preserve"> Helyi Környezetvédelmi Alap</t>
  </si>
  <si>
    <t>módosítás- ellátásban részesülők létszámigénylése alapján</t>
  </si>
  <si>
    <t>Szociális ágazati összevont pótlék (2025. június hó - 2025. július hó)</t>
  </si>
  <si>
    <t>Szociális ágazatban foglalkoztatottak egészségügyi kiegészítő pótléka (2025. június hó - 2025. július hó)</t>
  </si>
  <si>
    <t>módosítás- Szociális ágazati összevont pótlék (2025. június-július hó)</t>
  </si>
  <si>
    <t>Egészségügyi kiegészítő pótlék</t>
  </si>
  <si>
    <t>módosítás-  Szociális ágazati összevont pótlék (2025. június-július hó)</t>
  </si>
  <si>
    <t>helyesbítés</t>
  </si>
  <si>
    <t>,</t>
  </si>
  <si>
    <t>módosítás- pedagógus teljesítményértékelés kiegészítő támogatása</t>
  </si>
  <si>
    <t>óvodaműködtetés és pedagógusok átlagbéralapú támogatása, pedagógus béremelés módosított támogatása</t>
  </si>
  <si>
    <t>gyermekétkeztetési feladatok üzemeltetési támogatása</t>
  </si>
  <si>
    <t>módosítás- gyermekétkeztetési feladatok üzemeltetési támogatása</t>
  </si>
  <si>
    <t>módosítás- átcsoportosítás céltartalékba</t>
  </si>
  <si>
    <t>módosítás- átcsoportosítás beruházási feladatokra</t>
  </si>
  <si>
    <t>Közterület-felügyelet - fényképezőgépek beszerzése</t>
  </si>
  <si>
    <t>módosítás- átcsoportosítás</t>
  </si>
  <si>
    <r>
      <t>Közterület-felügyelet -</t>
    </r>
    <r>
      <rPr>
        <sz val="11"/>
        <rFont val="Palatino Linotype"/>
        <family val="1"/>
        <charset val="238"/>
      </rPr>
      <t xml:space="preserve"> átcsoportosítás beruházási kiadásokra</t>
    </r>
  </si>
  <si>
    <t>átcsoportosítás dologi kiadásokról</t>
  </si>
  <si>
    <t xml:space="preserve"> módosítás- átcsoportosítás</t>
  </si>
  <si>
    <t>Gyermekétkeztetés üzemeltetési támogatása</t>
  </si>
  <si>
    <t>Pedagógus teljesítményértékelés kiegészítő támogatása</t>
  </si>
  <si>
    <t>Napvitorla tartószerkezettel - homokozó fölé 4 db.</t>
  </si>
  <si>
    <t>Kulturális és Innovációs Minisztérium - Színházak 2025. évi finanszírozása</t>
  </si>
  <si>
    <t>Minisztériumi támogatásból dologi kiadásokra</t>
  </si>
  <si>
    <t>átcsoportosítás munkaadót terhelő szociális hozzájárulási adóról</t>
  </si>
  <si>
    <t>személyi kiadások költségeire</t>
  </si>
  <si>
    <t>Pedagógus bérrendezés</t>
  </si>
  <si>
    <t xml:space="preserve">módosítás- átcsoportosítás </t>
  </si>
  <si>
    <t>módosítás- Minisztériumi támogatásból</t>
  </si>
  <si>
    <t>Veszprém Vármegyei Önkormányzat támogatása - Dr. Komjáthy László díj</t>
  </si>
  <si>
    <t>átcsoportosítás - drogprevenciós programok népszerűsítése</t>
  </si>
  <si>
    <t>Veszprémi Családsegítő és Gyermekjóléti Integrált Intézmény - Veszprém Vármegyei Önkormányzat - Dr. Komjáthy László Díj támogatása</t>
  </si>
  <si>
    <t>Veszprém Vármegyei Önkormányzat - Dr. Komjáthy László Díj támogatása</t>
  </si>
  <si>
    <t>átcsoportosítás dologi kiadásokról beruházási kiadásokra</t>
  </si>
  <si>
    <t>Drogprevenciós programok népszerűsítése - bútorok beszerzése</t>
  </si>
  <si>
    <t xml:space="preserve">átcsoportosítás </t>
  </si>
  <si>
    <t>Kisértékű tárgyi eszközök beszerzése (Okos TV állvány, Flipchart tábla, spirálozó gép, iratmegsemmisítő, mágnestábla, mobil telefon, hordozható telefon, lombfújó, akkus fúró tartozékokkal, flex tartozékokkal, porszívók, salgópolcok)</t>
  </si>
  <si>
    <t>Laptopok, asztali számítógépek</t>
  </si>
  <si>
    <t>Kisértékű tárgyi eszközök beszerzése (mobil telefon, lombfújó, porszívók, salgópolcok)</t>
  </si>
  <si>
    <t>átcsoportosítás</t>
  </si>
  <si>
    <t>Kisértékű tárgyi eszközök beszerzése (kézikocsi, iratmegsemmisítő, számítógépek, bútorok, telefon, rozsdamentes asztal, tornatermi eszközök, laptopok)</t>
  </si>
  <si>
    <t>Kisértékű tárgyi eszközök beszerzése (főzőzsámoly, rozsdamentes asztalok, laptopok, gázzsámoly)</t>
  </si>
  <si>
    <t>Erdei-Kuckó Tagóvoda</t>
  </si>
  <si>
    <t>Amerikai Kuckó működési támogatása</t>
  </si>
  <si>
    <t>Kölcsey Alapítványtól kapott támogatás</t>
  </si>
  <si>
    <t>Kölcsey Alapítványtól kapott támogatásból dokumentum beszerzése</t>
  </si>
  <si>
    <t>módosítás- bevételi többletből, belső átcsoportosításokból</t>
  </si>
  <si>
    <t>Kölcsey Alapítvány dokumentum beszerzés</t>
  </si>
  <si>
    <t>bevételi többletből, támogatásból, belső átcsoportosításokból személyi kiadásokra 1.786 eFt, munkaadót terhelő szochóra 235 eFt., dologi kiadásokról -1.451 eFt, egyéb működési célú kiadásokra 609 eFt</t>
  </si>
  <si>
    <t>Eötvös Károly Könyvtár - bérleti díjból származó többletbevétel</t>
  </si>
  <si>
    <t>Eötvös Károly Könyvtár - Amerikai Kuckó támogatása</t>
  </si>
  <si>
    <t>Önkormányzati intézmények felhalmozási célú átvett pénzeszközök</t>
  </si>
  <si>
    <t>Eötvös Károly Könyvtár - Kölcsey Alapítvány támogatása - dokumentum beszerzésre</t>
  </si>
  <si>
    <t>személyi kiadásokra</t>
  </si>
  <si>
    <t>módosítás- működési bevételi többlet</t>
  </si>
  <si>
    <t>módosítás- bevételi többletből</t>
  </si>
  <si>
    <t>Büfé áthelyezés, iroda kialakítás</t>
  </si>
  <si>
    <t>Agóra Veszprém Kulturális Központ - működési többletbevétel - áfa visszatérülés</t>
  </si>
  <si>
    <t>13. melléklet a 4/2025. (II. 27.) önkormányzati rendelethez</t>
  </si>
  <si>
    <t>a Veszprém Megyei Jogú Város Önkormányzata támogatási szerződéssel rendelkező</t>
  </si>
  <si>
    <t xml:space="preserve"> Európai Uniós forrásból finanszírozott támogatással megvalósuló programok, projektek bevételeiről és kiadásairól az Ávr. 24. § (1) bekezdés a) pontjának és b) pont bd) alpontjának megfelelően</t>
  </si>
  <si>
    <t xml:space="preserve">A  </t>
  </si>
  <si>
    <t>Program megnevezés</t>
  </si>
  <si>
    <t>Program megvalósításának ideje</t>
  </si>
  <si>
    <t>Projekt forrás összetétel</t>
  </si>
  <si>
    <t>Projekt költség megbontás</t>
  </si>
  <si>
    <t>Projekt teljes költség</t>
  </si>
  <si>
    <t>Saját erő</t>
  </si>
  <si>
    <t>Projekthez kapcsolódó működési bevétel (ÁFA)</t>
  </si>
  <si>
    <t>EU támogatás összesen</t>
  </si>
  <si>
    <t>Előirányzat 2026-tól</t>
  </si>
  <si>
    <t>2025. évi előiráyzat</t>
  </si>
  <si>
    <t>2022-2029</t>
  </si>
  <si>
    <t>2023-2025</t>
  </si>
  <si>
    <t>2024-2026</t>
  </si>
  <si>
    <t>2024-2028</t>
  </si>
  <si>
    <t>*** A projekt a támogatási szerződés szerint részben nettó módon finanszírozott.</t>
  </si>
  <si>
    <t>Erdészeti feladatok</t>
  </si>
  <si>
    <t>Őszi fásítás</t>
  </si>
  <si>
    <t>módosítás-  rendezvényszervezésre</t>
  </si>
  <si>
    <t>Zöldfelületek minőségi megőrzésének kiadásaira (fakivágási kompenzáció)</t>
  </si>
  <si>
    <t>átcsoportosítás Veszprémi Bölcsődei és Eü.Alapell. Intézmény részére Epipen oltóanyag költségeire</t>
  </si>
  <si>
    <t>átcsoportosítás rendkívüli támogatásokra</t>
  </si>
  <si>
    <r>
      <t>Települési támogatások</t>
    </r>
    <r>
      <rPr>
        <sz val="11"/>
        <rFont val="Palatino Linotype"/>
        <family val="1"/>
        <charset val="238"/>
      </rPr>
      <t xml:space="preserve"> - rendkívüli támogatások</t>
    </r>
  </si>
  <si>
    <t>Epipen oltóanyag költségeire</t>
  </si>
  <si>
    <t>Kórháznak továbbszámlázott rezsi bevétel</t>
  </si>
  <si>
    <t>szakképzési támogatás</t>
  </si>
  <si>
    <t>NEAK finanszírozás</t>
  </si>
  <si>
    <t>szakképzési támogatás, NEAK finanszírozás</t>
  </si>
  <si>
    <t>3. 2025. szeptember hó</t>
  </si>
  <si>
    <t>Az Ör. 15. melléklete a következő 3. ponttal egészül ki:</t>
  </si>
  <si>
    <t>NEAK finanszírozásból, Kórháznak továbbszámlázott rezsi költségek bevételéből működési kiadásokra</t>
  </si>
  <si>
    <t>Nagykonyhai gáztűzhely sütővel</t>
  </si>
  <si>
    <t>Fogászati ügyeletre fogászati turbina és kuplung beszerzése</t>
  </si>
  <si>
    <t>2025. július 1-től 1fő takarítónő</t>
  </si>
  <si>
    <t>2025. június 1-től 1 fő felnőtt háziorvosi asszisztens, 2025. július 1 től 1 fő gyermek háziorvosi asszisztens, 2025. október 1-től felnőtt háziorvos</t>
  </si>
  <si>
    <t>2025. november 1-től - 2026. június 30-ig 1 fő óvodapedagógus</t>
  </si>
  <si>
    <t>1 fő határozott idejű óvodapedagógus bérköltségére</t>
  </si>
  <si>
    <t>Laptop 2 db., Laptopok (ovikréta)</t>
  </si>
  <si>
    <t>Kisértékű tárgyi eszközök beszerzése (iratmegsemmisítő, monitor, memória, maghőmérők, hulladéktároló edény, konyhai polc)</t>
  </si>
  <si>
    <t>Konyhai gép állvány</t>
  </si>
  <si>
    <t>1 db laptop (ovikréta)</t>
  </si>
  <si>
    <t>Mosógép</t>
  </si>
  <si>
    <t>Kisértékű tárgyi eszközök beszerzése (konyhai polc)</t>
  </si>
  <si>
    <t>Számítástechnikai eszközök beszerzése (laptopok)</t>
  </si>
  <si>
    <t>Veszprémi Egry Úti Körzeti Óvoda</t>
  </si>
  <si>
    <t>Bakonyi Ház padlóburkolat cseréje</t>
  </si>
  <si>
    <t>Bevételi többletből, támogatásból személyi kiadásokra 873 eFt, munkaadót terhelő szochóra 114 eFt, dologi kiadásokra 25 eFt)</t>
  </si>
  <si>
    <t>Laczkó Dezső Múzeum - nyári diákmunka támogatása, választási bizottsági tag térítése</t>
  </si>
  <si>
    <t>Laczkó Dezső Múzeum - belépődíjból származó többletbevétel</t>
  </si>
  <si>
    <t>módosítás- Pluszbevétel belépőjegyből, nyári diákmunka és választási bizottsági tag térítése</t>
  </si>
  <si>
    <t>módosítás- Nyári diákmunka támogatásából, saját bevételi többletből</t>
  </si>
  <si>
    <t>Posta utca csapadékvíz elvezetés és járda tervezés</t>
  </si>
  <si>
    <t xml:space="preserve">Avar utca (Kistó utca - Tüzér utca között) csapadékvíz elvezetésének felülvizsgálata és rekonstrukciójának tervezése </t>
  </si>
  <si>
    <t>Botev utca megnyitásának tervezése</t>
  </si>
  <si>
    <t>módosítás- átcsoportosítás Agóra VKK-nak</t>
  </si>
  <si>
    <r>
      <t xml:space="preserve">Gerence Hagyományőrző Néptáncegyüttes támogatása - </t>
    </r>
    <r>
      <rPr>
        <sz val="11"/>
        <rFont val="Palatino Linotype"/>
        <family val="1"/>
        <charset val="238"/>
      </rPr>
      <t>átcsoportosítás Agóra Veszprémi Kulturális Központnak</t>
    </r>
  </si>
  <si>
    <t>átcsoportosítás Gerence Hagyományőrző Néptáncegyüttes költségeire</t>
  </si>
  <si>
    <t>jubileumi jutalom</t>
  </si>
  <si>
    <t>Jubileumi jutalom</t>
  </si>
  <si>
    <t>Intézményi felmentési idő, jub. jut., végkielégítés és működési kiadások</t>
  </si>
  <si>
    <t xml:space="preserve">módosítás- Interreg Európa Program "HEROES" Projekt </t>
  </si>
  <si>
    <t>Interreg Európa Program "HEROES" Projekt - személyi kiadásokra 3.540 eFt, munkaadót terhelő szochóra 460 eFt</t>
  </si>
  <si>
    <t>átcsoportosítás EKF 2023 önerő kiadásairól</t>
  </si>
  <si>
    <t>Versenyképes Járások Program - Felnőtt háziorvosi rendelők akadálymentesítése Veszprémben</t>
  </si>
  <si>
    <t>Modern Városok Program-Veszprém belterületi közúthálózat fejlesztési céljainak és kapcsolódó tereinek megvalósítása (támogatás és önerő)</t>
  </si>
  <si>
    <t>Modern Városok Program-Veszprémi új Városi Jégcsarnok építése</t>
  </si>
  <si>
    <t>Modern Városok Program-Veszprémi Petőfi Színház komplex fejlesztése</t>
  </si>
  <si>
    <t>Versenyképes Járások Program - Mentőorvosi kocsi (MOK) beszerzése</t>
  </si>
  <si>
    <t>Versenyképes Járások Program - Veszprémi Hivatásos Tűzoltóparancsnokság részére eszközbeszerzés</t>
  </si>
  <si>
    <t>Versenyképes Járások Program - Veszprémi Rendőrkapitányság közbiztonság fejlesztése I. ütem</t>
  </si>
  <si>
    <t>Versenyképes Járások Program - Veszprém Vármegyei Csolnoky Ferenc Kórház 8200 Veszprém, Komakút tér 1. szám alatti telephelyének, egykori "SZTK" Rendelőintézetének részleges felújítása - 1. ütem (Fogadótér)</t>
  </si>
  <si>
    <t>Versenyképes Járások Program - Veszprém, Völgyikút u. 2. Idősek Otthona klímatizálása</t>
  </si>
  <si>
    <t>átcsoportosítás dologi kiadásokról polgármesteri hivatali feladatokra</t>
  </si>
  <si>
    <t>Versenyképes Járások Program - Veszprémi Rendőrkapitányság közbiztonság fejlesztése I. ütem - átcsoportosítás egyéb működési célú kiadásokra</t>
  </si>
  <si>
    <t>Versenyképes Járások Program - Veszprém Vármegyei Csolnoky Ferenc Kórház 8200 Veszprém, Komakút tér 1. szám alatti telephelyének, egykori "SZTK" Rendelőintézetének részleges felújítása - 1. ütem (Fogadótér) - átcsoportosítás dologi kiadásokra</t>
  </si>
  <si>
    <t xml:space="preserve">TOP_PLUSZ-3.4.1-23-VP1-2025-00004 Veszprém Vármegyei Pedagógiai Szakszolgálat Cholnoky utcai telephelyének fejlesztése </t>
  </si>
  <si>
    <t xml:space="preserve">TOP_PLUSZ-1.3.2-23-VP1-2025-00003 
Mártírok úti parkolóház építése </t>
  </si>
  <si>
    <t>TOP_PLUSZ-3.4.1-23-VP1-2025-00005
Új nappali foglalkoztató létesítése fogyatékkal élő felnőttek számára a Kőhíd utcában</t>
  </si>
  <si>
    <t>2025-2028</t>
  </si>
  <si>
    <t>TOP_PLUSZ-3.4.1-23-VP1-2025-00003
Idősellátás fejlesztése Veszprémben - Török Ignác u. és Hóvirág u.</t>
  </si>
  <si>
    <t>TOP_PLUSZ-3.4.1-23-VP1-2025-00007
Rózsa Úti Általános Iskola részleges megújítása</t>
  </si>
  <si>
    <t>TOP_PLUSZ-3.4.1-23-VP1-2025-00006
Cholnoky Jenő Általános Iskola részleges megújítása</t>
  </si>
  <si>
    <t>TOP_PLUSZ-3.4.1-23-VP1-2025-00001
Hriszto Botev Német Nemzetiségi Nyelvoktató Általános Iskola részleges megújítása</t>
  </si>
  <si>
    <t>TOP_PLUSZ-1.3.2-23-VP1-2025-00001
Belterületi útfejlesztés</t>
  </si>
  <si>
    <t>2025-2029</t>
  </si>
  <si>
    <t>TOP_PLUSZ-1.3.2-23-VP1-2025-00002
Veszprém Aréna-Veszprém Sportuszoda közötti út építése</t>
  </si>
  <si>
    <t>TOP_PLUSZ-3.2.1-23-VP1-2025-00001
"Veszprém felemel"  (Humán ESZA)</t>
  </si>
  <si>
    <t>TOP_PLUSZ-3.4.1-23-VP1-2025-00002
Gyulaffy László Német Nemzetiségi Nyelvoktató Általános Iskola részleges megújítása</t>
  </si>
  <si>
    <r>
      <t xml:space="preserve">Európa Kulturális Fővárosa 2023 beruházások előkészítése (önerő), </t>
    </r>
    <r>
      <rPr>
        <b/>
        <sz val="10"/>
        <rFont val="Palatino Linotype"/>
        <family val="1"/>
        <charset val="238"/>
      </rPr>
      <t>MVP elszámolások</t>
    </r>
  </si>
  <si>
    <t>NKA pályázati támogatás</t>
  </si>
  <si>
    <t>Felmentési idő rendezése</t>
  </si>
  <si>
    <t>Színháztechnikai és műszaki fejlesztés pályázat önrésze</t>
  </si>
  <si>
    <t>módosítás- bevételi többletből, pályázati támogatásból</t>
  </si>
  <si>
    <t xml:space="preserve">Színháztechnikai és műszaki fejlesztés </t>
  </si>
  <si>
    <t>Botero körfüggöny</t>
  </si>
  <si>
    <t xml:space="preserve">Kisértékű tárgyieszköz vásárlás </t>
  </si>
  <si>
    <t>Bevételi többletből személyi kiadásokra 6.580 eFt, munkaadó terhelő szochóról - 5.555 eFt, dologi kiadásokra 16.000 eFt</t>
  </si>
  <si>
    <t>Kabóca Bábszínház - NKA pályázati támogatás ifjúsági programsorozatra</t>
  </si>
  <si>
    <t>7. választókerület</t>
  </si>
  <si>
    <t>céltartalékból és előző évi maradványból álló keretből történő felhasználás</t>
  </si>
  <si>
    <t>7.vk. Postás-Távközlés Nyugdíjas Klub támogatása</t>
  </si>
  <si>
    <t>7.vk.</t>
  </si>
  <si>
    <t>Otthon az Állatoknak Alapítvány - működési költségek</t>
  </si>
  <si>
    <t>Veszprém Városi Hátrányos Helyzetű Fiatalokért Egyesület - program támogatás</t>
  </si>
  <si>
    <t>Kozmutza Flóra Alapítvány Értelmileg Sérült Gyermekekért Közhasznú Alapítvány - program támogatás</t>
  </si>
  <si>
    <t>Szilágyi Táncegyüttes Alapítvány - program támogatás</t>
  </si>
  <si>
    <t>A Közösségi Kommunikációért Egyesület - program támogatás</t>
  </si>
  <si>
    <t>5. választókerület</t>
  </si>
  <si>
    <t>5. vk. támogatása - Március 15. úti Fiókkönyvtár 40 éves jubileumi ünnepre</t>
  </si>
  <si>
    <t>5.vk</t>
  </si>
  <si>
    <t>5.vk.  Március 15. úti Fiókkönyvtár 40 éves jubileumi ünnepre</t>
  </si>
  <si>
    <t>3. választókerület</t>
  </si>
  <si>
    <t>Báthorys Gyermekekért Alapítvány - működési költségek</t>
  </si>
  <si>
    <t>3.vk. Ezerarcú Bónusz Szenior Klub támogatása kirándulásra</t>
  </si>
  <si>
    <t>3.vk. Támogatása - udvari térburkolatra</t>
  </si>
  <si>
    <t>3.vk. Támogatása - udvari játékok</t>
  </si>
  <si>
    <t>3.vk. Támogatása - tornatermi fejlesztő játékok</t>
  </si>
  <si>
    <t>módosítás- 3.vk.</t>
  </si>
  <si>
    <t>3.vk. támogatása - udvari térburkolatra</t>
  </si>
  <si>
    <t>3.vk. támogatása tornatermi fejlesztő játékokra</t>
  </si>
  <si>
    <t>3.vk. támogatása udvari térburkolatra</t>
  </si>
  <si>
    <t>3. vk. Támogatása Ezerarcú Bónusz Szenior Klub támogatása kirándulásra</t>
  </si>
  <si>
    <t>8. választókerület</t>
  </si>
  <si>
    <t>Növénytelepítés, sövény telepítés, faültetés a választókörzet köztereire</t>
  </si>
  <si>
    <t>Pedagógus kirándulás: Botev és Rózsa iskolák, Hóvirág bölcsőde pedagógusainak és dolgozóinak szervezett kirándulás költségei (étkezés, belépők), EKF séta, kirándulás civilek részére, belépők és étkezés költsége</t>
  </si>
  <si>
    <t>ÖKO-kert workshop rendezvények</t>
  </si>
  <si>
    <t>8.vk. Költőtoll Irodalmi Kör tevékenységének támogatása</t>
  </si>
  <si>
    <t>8.vk. Verseskötet megjelenésének támogatása</t>
  </si>
  <si>
    <t>8.vk. Napvitorla a Hóvirág bölcsődében</t>
  </si>
  <si>
    <t>módosítás- 8.vk. Költőtoll Irodalmi Kör tevékenységének támogatása</t>
  </si>
  <si>
    <t>10. választókerület</t>
  </si>
  <si>
    <t>8.vk.</t>
  </si>
  <si>
    <t>10.vk.</t>
  </si>
  <si>
    <t>10.vk. Szemétgyűjtő elhelyezése a Giricses lépcsőhöz</t>
  </si>
  <si>
    <t>11. választókerület</t>
  </si>
  <si>
    <t>Szent Imre Ifjúsági Alapítvány - programtámogatás</t>
  </si>
  <si>
    <t>Fortissimo Fúvósok Alapítvány - működési támogatás</t>
  </si>
  <si>
    <t>11.vk.</t>
  </si>
  <si>
    <t>Pályázati támogatások</t>
  </si>
  <si>
    <t>Pályázati támogatások, átcsoportosítások</t>
  </si>
  <si>
    <t>Pályázati támogatásból - színpadtechnikai berendezések (fénytechnika, hangtechnika)</t>
  </si>
  <si>
    <t>Önkormányzati Intézmények felhalmozási célú támogatásai áht-on belülről</t>
  </si>
  <si>
    <t>Pályázati támogatásokból, belső átcsoportosítás - (személyi kiadásokról-12.945 eFt, munkaadót terhelő szochóra 751 eFt, dologi kiadásokra 44.194 eFt)</t>
  </si>
  <si>
    <t>Veszprémi Petőfi Színház - Kulturális és Innovációs Minisztérium -pályázati támogatások</t>
  </si>
  <si>
    <t>Veszprémi Petőfi Színház -Kulturális és Innovációs Minisztérium - pályázati támogatás</t>
  </si>
  <si>
    <t>Gizella napok költségeiből fennmaradó rész</t>
  </si>
  <si>
    <t>Utcazene fesztivál</t>
  </si>
  <si>
    <t>Városi rendezvények kiadásaira</t>
  </si>
  <si>
    <t>6. választókerület</t>
  </si>
  <si>
    <t>Cholnoky Jazzbalettért Alapítvány - működési költségekre</t>
  </si>
  <si>
    <t>Panna Csodavilága Közhasznú Alapítvány - működési költségekre</t>
  </si>
  <si>
    <t>Bakony-Balaton Környezetvédelmi Oktatóközpont Egyesület Mozaik Érdekvédelmi Egyesület - működési költségekre</t>
  </si>
  <si>
    <t>Mozaik Érdekvédelmi Egyesület - működési költségekre</t>
  </si>
  <si>
    <t>Vilonyai úti játszótér felújítási, karbantartási munkáira</t>
  </si>
  <si>
    <t>6.vk.</t>
  </si>
  <si>
    <t>6.vk. támogatása - programok költségeire</t>
  </si>
  <si>
    <t>6.vk. Laczkó Dezső Pedagógus Nyugdíjasklub támogatása - működési költségekre</t>
  </si>
  <si>
    <t>6. vk. Cholnoky Fiókkönyvtár támogatása - laptop vásárlása</t>
  </si>
  <si>
    <t>6.vk. Eötvös Károly Könyvtár - Cholnoky Fiókkönyvtár - laptop vásárlás</t>
  </si>
  <si>
    <t>Önkormányzat felhalmozási célú átvett pénzeszközök</t>
  </si>
  <si>
    <t>Gyulafirátót északi lakóterület útépítéshez hozzájárulás</t>
  </si>
  <si>
    <t>Gyulafirátót északi lakóterület útépítés</t>
  </si>
  <si>
    <t>Városgazdálkodási feladatok</t>
  </si>
  <si>
    <t>Benedekhegy függőleges sziklafal kőhullás elhárítási feladatok</t>
  </si>
  <si>
    <t>Közösség Kádártáért Egyesület - bérleti díj költségeire</t>
  </si>
  <si>
    <t>Adventi programokra</t>
  </si>
  <si>
    <t>Adventi programok költségeire</t>
  </si>
  <si>
    <t>Működési kiadásokra képzett céltartalék</t>
  </si>
  <si>
    <t>módosítás- Benedek hegy függőleges sziklafal kőhullás elhárítás feladatok</t>
  </si>
  <si>
    <t>módosítás- bérleti díj költségeire</t>
  </si>
  <si>
    <t>személyi kiadásokra 28 eFt, munkaadót terhelő szochóra 10 eFt</t>
  </si>
  <si>
    <t>személyi kiadásokra 15 eFt, munkaadót terhelő szochóra 5 eFt</t>
  </si>
  <si>
    <t>TOP_PLUSZ-3.2.1-23-VP1-2025-00001 Veszprém felemel  (Humán ESZA)</t>
  </si>
  <si>
    <t>10.</t>
  </si>
  <si>
    <t>11.</t>
  </si>
  <si>
    <t>TOP_PLUSZ-3.4.1-23-VP1-2025-00002 Gyulaffy László Német Nemzetiségi Nyelvoktató Általános Iskola részleges megújítása</t>
  </si>
  <si>
    <t>TOP_PLUSZ-3.2.1-23-VP1-2025-00001 "Veszprém felemel"  (Humán ESZA)</t>
  </si>
  <si>
    <t>Európa Kulturális Fővárosa 2023 beruházások előkészítése (önerő), MVP elszámolások</t>
  </si>
  <si>
    <t>13. melléklet a 2025. évi költségvetésről szóló 4/2025. (II.27.) önkormányzati rendelet módosításáról szóló …./2025. (IX.25.) önkormányzati rendelethez</t>
  </si>
  <si>
    <t>személyi kiadásokra 3.176 eFt, munkaadót terhelő szochóra 1.177 eFt</t>
  </si>
  <si>
    <t>Önkormányzat működési bevételei</t>
  </si>
  <si>
    <t xml:space="preserve">ÁFA bevételek és visszatérülések TOP_PLUSZ-1.3.2-23-VP1-2025-00003 
Mártírok úti parkolóház építése </t>
  </si>
  <si>
    <t>12.</t>
  </si>
  <si>
    <t>14. melléklet a 2025. évi költségvetésről szóló 4/2025. (II.27.) önkormányzati rendelet módosításáról szóló …./2025. (IX.25.) önkormányzati rendelethez</t>
  </si>
  <si>
    <t>Egry József utcai lakótelep közlekedés fejlesztéséhez szükséges tervezés</t>
  </si>
  <si>
    <t>3 db pad felújítása (Klapka utca buszmegállónál 2 db., Kálvin János tér - Március 15. úti Könyvtár között 1 db.)</t>
  </si>
  <si>
    <t>Szociális ágazatban foglalkoztatottak egészségügyi kiegészítő pótléka (2025. június - 2025. július hó)</t>
  </si>
  <si>
    <t>Hangpult és kiegészítők</t>
  </si>
  <si>
    <t>Asztali számítógép konfigurációk 2 db.</t>
  </si>
  <si>
    <t>Kisértékű tárgyi eszközök beszerzése (egér, pendrive, SSD meghajtó, router, memória, mobil telefon, játkékok, konyhai eszközök, bútorok, szőnyegek, autógumi, elektromos léghűtő berendezés, drogprevenciós programok népszerűsítéséhez bútorok beszerzése)</t>
  </si>
  <si>
    <t>Városi Ifjúsági keret - Fiatalok napja rendezvény</t>
  </si>
  <si>
    <t>átcsoportosítás egyéb működési célú kiadásokról</t>
  </si>
  <si>
    <t>dologi kiadásokra</t>
  </si>
  <si>
    <t xml:space="preserve">Intézményi közüzemi költségek </t>
  </si>
  <si>
    <t>Kabóca Bábszínház -  Bérleti díjból, belépőjegyből, Lázár Ervin Programból származó bevételi többlet</t>
  </si>
  <si>
    <t>módosítás- Bérleti díjból, belépőjegyből, Lázár Ervin Programból származó bevételi többlet</t>
  </si>
  <si>
    <t xml:space="preserve">Városi kiemelt fesztiválok </t>
  </si>
  <si>
    <t>Hollywoodoo zenekar 30 éves jubileumi lemezkiadáshoz támogatás</t>
  </si>
  <si>
    <t>Malomkő utcai ingatlan udvarának felújítására, karbantartására</t>
  </si>
  <si>
    <t>Gyulafirátót északi lakóterület útépítéséhez szükséges kiegészítő munkák tervezése</t>
  </si>
  <si>
    <t>TOP_PLUSZ-3.2.1-23-VP1-2025-00001 - Veszprém felemel (Humán ESZA) - személyi kiadásokra 8.000 eFt, munkaadót terhelő szochóra 1.040 eFt.</t>
  </si>
  <si>
    <t>módosítás- Bérleti díjból bevételi többlet</t>
  </si>
  <si>
    <t>Kiadások összesen:</t>
  </si>
  <si>
    <t>Esélyegyenlőségi feladatok megvalósítása</t>
  </si>
  <si>
    <t>Településrendezési szerződésből befolyt összeg</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</si>
</sst>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_-* #,##0.00\ _F_t_-;\-* #,##0.00\ _F_t_-;_-* &quot;-&quot;??\ _F_t_-;_-@_-"/>
    <numFmt numFmtId="165" formatCode="0.000"/>
    <numFmt numFmtId="166" formatCode="0.0%"/>
  </numFmts>
  <fonts count="62" x14ac:knownFonts="1">
    <font>
      <sz val="10"/>
      <name val="Arial CE"/>
      <charset val="238"/>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0"/>
      <name val="Arial CE"/>
      <charset val="238"/>
    </font>
    <font>
      <sz val="11"/>
      <name val="Palatino Linotype"/>
      <family val="1"/>
      <charset val="238"/>
    </font>
    <font>
      <sz val="10"/>
      <name val="Arial"/>
      <family val="2"/>
      <charset val="238"/>
    </font>
    <font>
      <b/>
      <sz val="11"/>
      <name val="Palatino Linotype"/>
      <family val="1"/>
      <charset val="238"/>
    </font>
    <font>
      <i/>
      <sz val="11"/>
      <name val="Palatino Linotype"/>
      <family val="1"/>
      <charset val="238"/>
    </font>
    <font>
      <sz val="9"/>
      <name val="Palatino Linotype"/>
      <family val="1"/>
      <charset val="238"/>
    </font>
    <font>
      <sz val="8"/>
      <name val="Arial CE"/>
      <charset val="238"/>
    </font>
    <font>
      <sz val="12"/>
      <name val="Times New Roman"/>
      <family val="1"/>
      <charset val="238"/>
    </font>
    <font>
      <sz val="10"/>
      <name val="Palatino Linotype"/>
      <family val="1"/>
      <charset val="238"/>
    </font>
    <font>
      <b/>
      <sz val="9"/>
      <name val="Palatino Linotype"/>
      <family val="1"/>
      <charset val="238"/>
    </font>
    <font>
      <i/>
      <sz val="10"/>
      <name val="Palatino Linotype"/>
      <family val="1"/>
      <charset val="238"/>
    </font>
    <font>
      <b/>
      <sz val="10"/>
      <name val="Palatino Linotype"/>
      <family val="1"/>
      <charset val="238"/>
    </font>
    <font>
      <sz val="9"/>
      <name val="Arial CE"/>
      <charset val="238"/>
    </font>
    <font>
      <i/>
      <u/>
      <sz val="10"/>
      <name val="Palatino Linotype"/>
      <family val="1"/>
      <charset val="238"/>
    </font>
    <font>
      <b/>
      <i/>
      <sz val="10"/>
      <name val="Palatino Linotype"/>
      <family val="1"/>
      <charset val="238"/>
    </font>
    <font>
      <b/>
      <i/>
      <sz val="11"/>
      <name val="Palatino Linotype"/>
      <family val="1"/>
      <charset val="238"/>
    </font>
    <font>
      <sz val="7"/>
      <name val="Palatino Linotype"/>
      <family val="1"/>
      <charset val="238"/>
    </font>
    <font>
      <i/>
      <sz val="10"/>
      <name val="Arial CE"/>
      <charset val="238"/>
    </font>
    <font>
      <sz val="11"/>
      <name val="Arial CE"/>
      <charset val="238"/>
    </font>
    <font>
      <b/>
      <u/>
      <sz val="10"/>
      <name val="Palatino Linotype"/>
      <family val="1"/>
      <charset val="238"/>
    </font>
    <font>
      <b/>
      <u/>
      <sz val="11"/>
      <name val="Palatino Linotype"/>
      <family val="1"/>
      <charset val="238"/>
    </font>
    <font>
      <u/>
      <sz val="10"/>
      <name val="Palatino Linotype"/>
      <family val="1"/>
      <charset val="238"/>
    </font>
    <font>
      <sz val="11"/>
      <color theme="1"/>
      <name val="Calibri"/>
      <family val="2"/>
      <charset val="238"/>
      <scheme val="minor"/>
    </font>
    <font>
      <sz val="11"/>
      <color rgb="FFFF0000"/>
      <name val="Palatino Linotype"/>
      <family val="1"/>
      <charset val="238"/>
    </font>
    <font>
      <b/>
      <sz val="10"/>
      <color theme="5" tint="-0.499984740745262"/>
      <name val="Palatino Linotype"/>
      <family val="1"/>
      <charset val="238"/>
    </font>
    <font>
      <b/>
      <i/>
      <sz val="10"/>
      <color theme="5" tint="-0.499984740745262"/>
      <name val="Palatino Linotype"/>
      <family val="1"/>
      <charset val="238"/>
    </font>
    <font>
      <b/>
      <sz val="10"/>
      <color theme="5" tint="-0.499984740745262"/>
      <name val="Arial CE"/>
      <charset val="238"/>
    </font>
    <font>
      <b/>
      <i/>
      <sz val="10"/>
      <color theme="5" tint="-0.499984740745262"/>
      <name val="Arial CE"/>
      <charset val="238"/>
    </font>
    <font>
      <b/>
      <sz val="11"/>
      <color theme="5" tint="-0.499984740745262"/>
      <name val="Palatino Linotype"/>
      <family val="1"/>
      <charset val="238"/>
    </font>
    <font>
      <sz val="11"/>
      <color theme="5" tint="-0.499984740745262"/>
      <name val="Palatino Linotype"/>
      <family val="1"/>
      <charset val="238"/>
    </font>
    <font>
      <sz val="11"/>
      <color theme="1"/>
      <name val="Palatino Linotype"/>
      <family val="1"/>
      <charset val="238"/>
    </font>
    <font>
      <b/>
      <i/>
      <sz val="11"/>
      <color theme="5" tint="-0.499984740745262"/>
      <name val="Palatino Linotype"/>
      <family val="1"/>
      <charset val="238"/>
    </font>
    <font>
      <sz val="10"/>
      <color theme="5" tint="-0.499984740745262"/>
      <name val="Palatino Linotype"/>
      <family val="1"/>
      <charset val="238"/>
    </font>
    <font>
      <i/>
      <sz val="10"/>
      <color theme="5" tint="-0.499984740745262"/>
      <name val="Palatino Linotype"/>
      <family val="1"/>
      <charset val="238"/>
    </font>
    <font>
      <b/>
      <u/>
      <sz val="11"/>
      <color theme="1"/>
      <name val="Palatino Linotype"/>
      <family val="1"/>
      <charset val="238"/>
    </font>
    <font>
      <b/>
      <i/>
      <sz val="11"/>
      <color theme="1"/>
      <name val="Palatino Linotype"/>
      <family val="1"/>
      <charset val="238"/>
    </font>
    <font>
      <b/>
      <sz val="11"/>
      <color rgb="FF800000"/>
      <name val="Palatino Linotype"/>
      <family val="1"/>
      <charset val="238"/>
    </font>
    <font>
      <b/>
      <sz val="10"/>
      <color rgb="FF632523"/>
      <name val="Palatino Linotype"/>
      <family val="1"/>
      <charset val="238"/>
    </font>
    <font>
      <b/>
      <sz val="10"/>
      <color theme="9" tint="-0.499984740745262"/>
      <name val="Palatino Linotype"/>
      <family val="1"/>
      <charset val="238"/>
    </font>
    <font>
      <sz val="10.5"/>
      <name val="Palatino Linotype"/>
      <family val="1"/>
      <charset val="238"/>
    </font>
    <font>
      <sz val="12"/>
      <name val="Palatino Linotype"/>
      <family val="1"/>
      <charset val="238"/>
    </font>
    <font>
      <b/>
      <sz val="11"/>
      <color theme="1"/>
      <name val="Palatino Linotype"/>
      <family val="1"/>
      <charset val="238"/>
    </font>
    <font>
      <sz val="10"/>
      <color rgb="FF632523"/>
      <name val="Palatino Linotype"/>
      <family val="1"/>
      <charset val="238"/>
    </font>
    <font>
      <sz val="10"/>
      <color rgb="FF800000"/>
      <name val="Palatino Linotype"/>
      <family val="1"/>
      <charset val="238"/>
    </font>
    <font>
      <b/>
      <sz val="10"/>
      <color rgb="FF800000"/>
      <name val="Palatino Linotype"/>
      <family val="1"/>
      <charset val="238"/>
    </font>
    <font>
      <i/>
      <sz val="11"/>
      <color theme="5" tint="-0.499984740745262"/>
      <name val="Palatino Linotype"/>
      <family val="1"/>
      <charset val="238"/>
    </font>
    <font>
      <sz val="11"/>
      <color rgb="FF000000"/>
      <name val="Calibri"/>
      <family val="2"/>
      <charset val="238"/>
    </font>
    <font>
      <sz val="8"/>
      <name val="Palatino Linotype"/>
      <family val="1"/>
      <charset val="238"/>
    </font>
    <font>
      <i/>
      <u/>
      <sz val="11"/>
      <name val="Palatino Linotype"/>
      <family val="1"/>
      <charset val="238"/>
    </font>
    <font>
      <b/>
      <i/>
      <u/>
      <sz val="11"/>
      <name val="Palatino Linotype"/>
      <family val="1"/>
      <charset val="238"/>
    </font>
    <font>
      <u/>
      <sz val="11"/>
      <name val="Palatino Linotype"/>
      <family val="1"/>
      <charset val="238"/>
    </font>
    <font>
      <sz val="10"/>
      <color rgb="FF080808"/>
      <name val="Palatino Linotype"/>
      <family val="1"/>
      <charset val="238"/>
    </font>
    <font>
      <b/>
      <u/>
      <sz val="12"/>
      <name val="Palatino Linotype"/>
      <family val="1"/>
      <charset val="238"/>
    </font>
  </fonts>
  <fills count="3">
    <fill>
      <patternFill patternType="none"/>
    </fill>
    <fill>
      <patternFill patternType="gray125"/>
    </fill>
    <fill>
      <patternFill patternType="solid">
        <fgColor rgb="FFFFFF00"/>
        <bgColor indexed="64"/>
      </patternFill>
    </fill>
  </fills>
  <borders count="259">
    <border>
      <left/>
      <right/>
      <top/>
      <bottom/>
      <diagonal/>
    </border>
    <border>
      <left style="medium">
        <color indexed="64"/>
      </left>
      <right style="thin">
        <color indexed="64"/>
      </right>
      <top style="medium">
        <color indexed="64"/>
      </top>
      <bottom style="double">
        <color indexed="64"/>
      </bottom>
      <diagonal/>
    </border>
    <border>
      <left style="thin">
        <color indexed="64"/>
      </left>
      <right style="thin">
        <color indexed="64"/>
      </right>
      <top style="medium">
        <color indexed="64"/>
      </top>
      <bottom style="double">
        <color indexed="64"/>
      </bottom>
      <diagonal/>
    </border>
    <border>
      <left style="thin">
        <color indexed="64"/>
      </left>
      <right style="medium">
        <color indexed="64"/>
      </right>
      <top style="medium">
        <color indexed="64"/>
      </top>
      <bottom style="double">
        <color indexed="64"/>
      </bottom>
      <diagonal/>
    </border>
    <border>
      <left style="medium">
        <color indexed="64"/>
      </left>
      <right/>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bottom style="medium">
        <color indexed="64"/>
      </bottom>
      <diagonal/>
    </border>
    <border>
      <left/>
      <right/>
      <top style="thin">
        <color indexed="64"/>
      </top>
      <bottom style="thin">
        <color indexed="64"/>
      </bottom>
      <diagonal/>
    </border>
    <border>
      <left/>
      <right/>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medium">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medium">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right style="medium">
        <color indexed="64"/>
      </right>
      <top/>
      <bottom/>
      <diagonal/>
    </border>
    <border>
      <left/>
      <right style="medium">
        <color indexed="64"/>
      </right>
      <top/>
      <bottom style="medium">
        <color indexed="64"/>
      </bottom>
      <diagonal/>
    </border>
    <border>
      <left style="hair">
        <color indexed="64"/>
      </left>
      <right/>
      <top style="hair">
        <color indexed="64"/>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medium">
        <color indexed="64"/>
      </left>
      <right style="hair">
        <color indexed="64"/>
      </right>
      <top/>
      <bottom style="hair">
        <color indexed="64"/>
      </bottom>
      <diagonal/>
    </border>
    <border>
      <left style="hair">
        <color indexed="64"/>
      </left>
      <right style="medium">
        <color indexed="64"/>
      </right>
      <top/>
      <bottom style="hair">
        <color indexed="64"/>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right/>
      <top style="thin">
        <color indexed="64"/>
      </top>
      <bottom style="double">
        <color indexed="64"/>
      </bottom>
      <diagonal/>
    </border>
    <border>
      <left/>
      <right/>
      <top style="double">
        <color indexed="64"/>
      </top>
      <bottom style="medium">
        <color indexed="64"/>
      </bottom>
      <diagonal/>
    </border>
    <border>
      <left/>
      <right/>
      <top style="thin">
        <color indexed="64"/>
      </top>
      <bottom style="medium">
        <color indexed="64"/>
      </bottom>
      <diagonal/>
    </border>
    <border>
      <left style="double">
        <color indexed="64"/>
      </left>
      <right style="medium">
        <color indexed="64"/>
      </right>
      <top/>
      <bottom/>
      <diagonal/>
    </border>
    <border>
      <left style="thin">
        <color indexed="64"/>
      </left>
      <right style="thin">
        <color indexed="64"/>
      </right>
      <top style="medium">
        <color indexed="64"/>
      </top>
      <bottom style="medium">
        <color indexed="64"/>
      </bottom>
      <diagonal/>
    </border>
    <border>
      <left style="medium">
        <color indexed="64"/>
      </left>
      <right style="hair">
        <color indexed="64"/>
      </right>
      <top style="medium">
        <color indexed="64"/>
      </top>
      <bottom style="hair">
        <color indexed="64"/>
      </bottom>
      <diagonal/>
    </border>
    <border>
      <left style="hair">
        <color indexed="64"/>
      </left>
      <right style="hair">
        <color indexed="64"/>
      </right>
      <top style="medium">
        <color indexed="64"/>
      </top>
      <bottom style="hair">
        <color indexed="64"/>
      </bottom>
      <diagonal/>
    </border>
    <border>
      <left style="hair">
        <color indexed="64"/>
      </left>
      <right style="medium">
        <color indexed="64"/>
      </right>
      <top style="medium">
        <color indexed="64"/>
      </top>
      <bottom style="hair">
        <color indexed="64"/>
      </bottom>
      <diagonal/>
    </border>
    <border>
      <left style="hair">
        <color indexed="64"/>
      </left>
      <right style="hair">
        <color indexed="64"/>
      </right>
      <top style="hair">
        <color indexed="64"/>
      </top>
      <bottom/>
      <diagonal/>
    </border>
    <border>
      <left style="hair">
        <color indexed="64"/>
      </left>
      <right style="medium">
        <color indexed="64"/>
      </right>
      <top style="hair">
        <color indexed="64"/>
      </top>
      <bottom/>
      <diagonal/>
    </border>
    <border>
      <left style="double">
        <color indexed="64"/>
      </left>
      <right style="hair">
        <color indexed="64"/>
      </right>
      <top style="hair">
        <color indexed="64"/>
      </top>
      <bottom style="hair">
        <color indexed="64"/>
      </bottom>
      <diagonal/>
    </border>
    <border>
      <left style="double">
        <color indexed="64"/>
      </left>
      <right style="hair">
        <color indexed="64"/>
      </right>
      <top style="medium">
        <color indexed="64"/>
      </top>
      <bottom style="hair">
        <color indexed="64"/>
      </bottom>
      <diagonal/>
    </border>
    <border>
      <left style="thin">
        <color indexed="64"/>
      </left>
      <right style="thin">
        <color indexed="64"/>
      </right>
      <top style="thin">
        <color indexed="64"/>
      </top>
      <bottom style="medium">
        <color indexed="64"/>
      </bottom>
      <diagonal/>
    </border>
    <border>
      <left style="double">
        <color indexed="64"/>
      </left>
      <right style="thin">
        <color indexed="64"/>
      </right>
      <top style="thin">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double">
        <color indexed="64"/>
      </bottom>
      <diagonal/>
    </border>
    <border>
      <left style="medium">
        <color indexed="64"/>
      </left>
      <right/>
      <top style="double">
        <color indexed="64"/>
      </top>
      <bottom style="medium">
        <color indexed="64"/>
      </bottom>
      <diagonal/>
    </border>
    <border>
      <left style="medium">
        <color indexed="64"/>
      </left>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double">
        <color indexed="64"/>
      </right>
      <top style="medium">
        <color indexed="64"/>
      </top>
      <bottom style="medium">
        <color indexed="64"/>
      </bottom>
      <diagonal/>
    </border>
    <border>
      <left style="hair">
        <color indexed="64"/>
      </left>
      <right style="hair">
        <color indexed="64"/>
      </right>
      <top style="medium">
        <color indexed="64"/>
      </top>
      <bottom style="medium">
        <color indexed="64"/>
      </bottom>
      <diagonal/>
    </border>
    <border>
      <left style="double">
        <color indexed="64"/>
      </left>
      <right style="hair">
        <color indexed="64"/>
      </right>
      <top/>
      <bottom style="hair">
        <color indexed="64"/>
      </bottom>
      <diagonal/>
    </border>
    <border>
      <left style="medium">
        <color indexed="64"/>
      </left>
      <right style="hair">
        <color indexed="64"/>
      </right>
      <top style="hair">
        <color indexed="64"/>
      </top>
      <bottom/>
      <diagonal/>
    </border>
    <border>
      <left style="hair">
        <color indexed="64"/>
      </left>
      <right style="hair">
        <color indexed="64"/>
      </right>
      <top/>
      <bottom/>
      <diagonal/>
    </border>
    <border>
      <left/>
      <right style="hair">
        <color indexed="64"/>
      </right>
      <top/>
      <bottom/>
      <diagonal/>
    </border>
    <border>
      <left/>
      <right style="hair">
        <color indexed="64"/>
      </right>
      <top/>
      <bottom style="hair">
        <color indexed="64"/>
      </bottom>
      <diagonal/>
    </border>
    <border>
      <left style="hair">
        <color indexed="64"/>
      </left>
      <right/>
      <top style="medium">
        <color indexed="64"/>
      </top>
      <bottom style="hair">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top/>
      <bottom/>
      <diagonal/>
    </border>
    <border>
      <left style="double">
        <color indexed="64"/>
      </left>
      <right/>
      <top/>
      <bottom/>
      <diagonal/>
    </border>
    <border>
      <left style="thin">
        <color indexed="64"/>
      </left>
      <right/>
      <top style="thin">
        <color indexed="64"/>
      </top>
      <bottom style="thin">
        <color indexed="64"/>
      </bottom>
      <diagonal/>
    </border>
    <border>
      <left style="double">
        <color indexed="64"/>
      </left>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diagonal/>
    </border>
    <border>
      <left style="double">
        <color indexed="64"/>
      </left>
      <right/>
      <top style="thin">
        <color indexed="64"/>
      </top>
      <bottom style="double">
        <color indexed="64"/>
      </bottom>
      <diagonal/>
    </border>
    <border>
      <left style="thin">
        <color indexed="64"/>
      </left>
      <right style="medium">
        <color indexed="64"/>
      </right>
      <top style="thin">
        <color indexed="64"/>
      </top>
      <bottom style="double">
        <color indexed="64"/>
      </bottom>
      <diagonal/>
    </border>
    <border>
      <left style="medium">
        <color indexed="64"/>
      </left>
      <right/>
      <top style="double">
        <color indexed="64"/>
      </top>
      <bottom style="double">
        <color indexed="64"/>
      </bottom>
      <diagonal/>
    </border>
    <border>
      <left/>
      <right style="thin">
        <color indexed="64"/>
      </right>
      <top style="double">
        <color indexed="64"/>
      </top>
      <bottom style="double">
        <color indexed="64"/>
      </bottom>
      <diagonal/>
    </border>
    <border>
      <left style="medium">
        <color indexed="64"/>
      </left>
      <right/>
      <top style="double">
        <color indexed="64"/>
      </top>
      <bottom/>
      <diagonal/>
    </border>
    <border>
      <left/>
      <right/>
      <top style="double">
        <color indexed="64"/>
      </top>
      <bottom/>
      <diagonal/>
    </border>
    <border>
      <left/>
      <right style="thin">
        <color indexed="64"/>
      </right>
      <top/>
      <bottom/>
      <diagonal/>
    </border>
    <border>
      <left style="medium">
        <color indexed="64"/>
      </left>
      <right/>
      <top/>
      <bottom style="thin">
        <color indexed="64"/>
      </bottom>
      <diagonal/>
    </border>
    <border>
      <left style="double">
        <color indexed="64"/>
      </left>
      <right/>
      <top/>
      <bottom style="thin">
        <color indexed="64"/>
      </bottom>
      <diagonal/>
    </border>
    <border>
      <left style="double">
        <color indexed="64"/>
      </left>
      <right/>
      <top/>
      <bottom style="medium">
        <color indexed="64"/>
      </bottom>
      <diagonal/>
    </border>
    <border>
      <left style="thin">
        <color indexed="64"/>
      </left>
      <right/>
      <top style="thin">
        <color indexed="64"/>
      </top>
      <bottom style="double">
        <color indexed="64"/>
      </bottom>
      <diagonal/>
    </border>
    <border>
      <left style="thin">
        <color indexed="64"/>
      </left>
      <right/>
      <top style="double">
        <color indexed="64"/>
      </top>
      <bottom/>
      <diagonal/>
    </border>
    <border>
      <left style="thin">
        <color indexed="64"/>
      </left>
      <right/>
      <top/>
      <bottom style="thin">
        <color indexed="64"/>
      </bottom>
      <diagonal/>
    </border>
    <border>
      <left style="thin">
        <color indexed="64"/>
      </left>
      <right/>
      <top/>
      <bottom style="medium">
        <color indexed="64"/>
      </bottom>
      <diagonal/>
    </border>
    <border>
      <left style="thin">
        <color indexed="64"/>
      </left>
      <right style="medium">
        <color indexed="64"/>
      </right>
      <top/>
      <bottom style="double">
        <color indexed="64"/>
      </bottom>
      <diagonal/>
    </border>
    <border>
      <left style="thin">
        <color indexed="64"/>
      </left>
      <right style="medium">
        <color indexed="64"/>
      </right>
      <top/>
      <bottom style="thin">
        <color indexed="64"/>
      </bottom>
      <diagonal/>
    </border>
    <border>
      <left/>
      <right/>
      <top style="medium">
        <color indexed="64"/>
      </top>
      <bottom/>
      <diagonal/>
    </border>
    <border>
      <left style="hair">
        <color indexed="64"/>
      </left>
      <right style="hair">
        <color indexed="64"/>
      </right>
      <top style="hair">
        <color indexed="64"/>
      </top>
      <bottom style="double">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style="double">
        <color indexed="64"/>
      </bottom>
      <diagonal/>
    </border>
    <border>
      <left/>
      <right style="hair">
        <color indexed="64"/>
      </right>
      <top style="hair">
        <color indexed="64"/>
      </top>
      <bottom style="hair">
        <color indexed="64"/>
      </bottom>
      <diagonal/>
    </border>
    <border>
      <left/>
      <right style="hair">
        <color indexed="64"/>
      </right>
      <top style="double">
        <color indexed="64"/>
      </top>
      <bottom style="hair">
        <color indexed="64"/>
      </bottom>
      <diagonal/>
    </border>
    <border>
      <left/>
      <right style="double">
        <color indexed="64"/>
      </right>
      <top style="thin">
        <color indexed="64"/>
      </top>
      <bottom style="thin">
        <color indexed="64"/>
      </bottom>
      <diagonal/>
    </border>
    <border>
      <left style="hair">
        <color indexed="64"/>
      </left>
      <right style="hair">
        <color indexed="64"/>
      </right>
      <top style="medium">
        <color indexed="64"/>
      </top>
      <bottom/>
      <diagonal/>
    </border>
    <border>
      <left style="double">
        <color indexed="64"/>
      </left>
      <right style="hair">
        <color indexed="64"/>
      </right>
      <top style="double">
        <color indexed="64"/>
      </top>
      <bottom style="hair">
        <color indexed="64"/>
      </bottom>
      <diagonal/>
    </border>
    <border>
      <left/>
      <right style="medium">
        <color indexed="64"/>
      </right>
      <top/>
      <bottom style="thin">
        <color indexed="64"/>
      </bottom>
      <diagonal/>
    </border>
    <border>
      <left style="hair">
        <color indexed="64"/>
      </left>
      <right style="medium">
        <color indexed="64"/>
      </right>
      <top style="double">
        <color indexed="64"/>
      </top>
      <bottom style="hair">
        <color indexed="64"/>
      </bottom>
      <diagonal/>
    </border>
    <border>
      <left style="medium">
        <color indexed="64"/>
      </left>
      <right/>
      <top style="hair">
        <color indexed="64"/>
      </top>
      <bottom style="hair">
        <color indexed="64"/>
      </bottom>
      <diagonal/>
    </border>
    <border>
      <left/>
      <right/>
      <top style="hair">
        <color indexed="64"/>
      </top>
      <bottom style="hair">
        <color indexed="64"/>
      </bottom>
      <diagonal/>
    </border>
    <border>
      <left/>
      <right/>
      <top/>
      <bottom style="double">
        <color indexed="64"/>
      </bottom>
      <diagonal/>
    </border>
    <border>
      <left/>
      <right style="medium">
        <color indexed="64"/>
      </right>
      <top/>
      <bottom style="double">
        <color indexed="64"/>
      </bottom>
      <diagonal/>
    </border>
    <border>
      <left/>
      <right style="hair">
        <color indexed="64"/>
      </right>
      <top style="medium">
        <color indexed="64"/>
      </top>
      <bottom style="hair">
        <color indexed="64"/>
      </bottom>
      <diagonal/>
    </border>
    <border>
      <left/>
      <right style="hair">
        <color indexed="64"/>
      </right>
      <top style="hair">
        <color indexed="64"/>
      </top>
      <bottom/>
      <diagonal/>
    </border>
    <border>
      <left/>
      <right style="hair">
        <color indexed="64"/>
      </right>
      <top style="medium">
        <color indexed="64"/>
      </top>
      <bottom/>
      <diagonal/>
    </border>
    <border>
      <left/>
      <right style="hair">
        <color indexed="64"/>
      </right>
      <top style="medium">
        <color indexed="64"/>
      </top>
      <bottom style="medium">
        <color indexed="64"/>
      </bottom>
      <diagonal/>
    </border>
    <border>
      <left style="double">
        <color indexed="64"/>
      </left>
      <right style="hair">
        <color indexed="64"/>
      </right>
      <top style="hair">
        <color indexed="64"/>
      </top>
      <bottom style="double">
        <color indexed="64"/>
      </bottom>
      <diagonal/>
    </border>
    <border>
      <left/>
      <right style="hair">
        <color indexed="64"/>
      </right>
      <top style="hair">
        <color indexed="64"/>
      </top>
      <bottom style="double">
        <color indexed="64"/>
      </bottom>
      <diagonal/>
    </border>
    <border>
      <left style="hair">
        <color indexed="64"/>
      </left>
      <right/>
      <top style="hair">
        <color indexed="64"/>
      </top>
      <bottom style="double">
        <color indexed="64"/>
      </bottom>
      <diagonal/>
    </border>
    <border>
      <left/>
      <right/>
      <top/>
      <bottom style="hair">
        <color indexed="64"/>
      </bottom>
      <diagonal/>
    </border>
    <border>
      <left/>
      <right/>
      <top style="medium">
        <color indexed="64"/>
      </top>
      <bottom style="hair">
        <color indexed="64"/>
      </bottom>
      <diagonal/>
    </border>
    <border>
      <left style="hair">
        <color indexed="64"/>
      </left>
      <right style="hair">
        <color indexed="64"/>
      </right>
      <top style="double">
        <color indexed="64"/>
      </top>
      <bottom style="medium">
        <color indexed="64"/>
      </bottom>
      <diagonal/>
    </border>
    <border>
      <left style="hair">
        <color indexed="64"/>
      </left>
      <right/>
      <top style="double">
        <color indexed="64"/>
      </top>
      <bottom style="hair">
        <color indexed="64"/>
      </bottom>
      <diagonal/>
    </border>
    <border>
      <left style="double">
        <color indexed="64"/>
      </left>
      <right style="medium">
        <color indexed="64"/>
      </right>
      <top/>
      <bottom style="hair">
        <color indexed="64"/>
      </bottom>
      <diagonal/>
    </border>
    <border>
      <left style="double">
        <color indexed="64"/>
      </left>
      <right style="medium">
        <color indexed="64"/>
      </right>
      <top style="hair">
        <color indexed="64"/>
      </top>
      <bottom style="hair">
        <color indexed="64"/>
      </bottom>
      <diagonal/>
    </border>
    <border>
      <left style="hair">
        <color indexed="64"/>
      </left>
      <right style="double">
        <color indexed="64"/>
      </right>
      <top style="medium">
        <color indexed="64"/>
      </top>
      <bottom style="hair">
        <color indexed="64"/>
      </bottom>
      <diagonal/>
    </border>
    <border>
      <left style="hair">
        <color indexed="64"/>
      </left>
      <right style="double">
        <color indexed="64"/>
      </right>
      <top style="hair">
        <color indexed="64"/>
      </top>
      <bottom style="hair">
        <color indexed="64"/>
      </bottom>
      <diagonal/>
    </border>
    <border>
      <left style="hair">
        <color indexed="64"/>
      </left>
      <right style="double">
        <color indexed="64"/>
      </right>
      <top style="medium">
        <color indexed="64"/>
      </top>
      <bottom/>
      <diagonal/>
    </border>
    <border>
      <left/>
      <right/>
      <top style="hair">
        <color indexed="64"/>
      </top>
      <bottom/>
      <diagonal/>
    </border>
    <border>
      <left style="hair">
        <color indexed="64"/>
      </left>
      <right style="medium">
        <color indexed="64"/>
      </right>
      <top style="hair">
        <color indexed="64"/>
      </top>
      <bottom style="double">
        <color indexed="64"/>
      </bottom>
      <diagonal/>
    </border>
    <border>
      <left/>
      <right/>
      <top style="hair">
        <color indexed="64"/>
      </top>
      <bottom style="double">
        <color indexed="64"/>
      </bottom>
      <diagonal/>
    </border>
    <border>
      <left style="hair">
        <color indexed="64"/>
      </left>
      <right style="medium">
        <color indexed="64"/>
      </right>
      <top style="hair">
        <color indexed="64"/>
      </top>
      <bottom style="medium">
        <color indexed="64"/>
      </bottom>
      <diagonal/>
    </border>
    <border>
      <left style="medium">
        <color indexed="64"/>
      </left>
      <right style="hair">
        <color indexed="64"/>
      </right>
      <top style="hair">
        <color indexed="64"/>
      </top>
      <bottom style="medium">
        <color indexed="64"/>
      </bottom>
      <diagonal/>
    </border>
    <border>
      <left style="hair">
        <color indexed="64"/>
      </left>
      <right style="hair">
        <color indexed="64"/>
      </right>
      <top style="hair">
        <color indexed="64"/>
      </top>
      <bottom style="medium">
        <color indexed="64"/>
      </bottom>
      <diagonal/>
    </border>
    <border>
      <left/>
      <right style="hair">
        <color indexed="64"/>
      </right>
      <top style="hair">
        <color indexed="64"/>
      </top>
      <bottom style="medium">
        <color indexed="64"/>
      </bottom>
      <diagonal/>
    </border>
    <border>
      <left style="hair">
        <color indexed="64"/>
      </left>
      <right/>
      <top style="hair">
        <color indexed="64"/>
      </top>
      <bottom/>
      <diagonal/>
    </border>
    <border>
      <left style="double">
        <color indexed="64"/>
      </left>
      <right style="hair">
        <color indexed="64"/>
      </right>
      <top style="hair">
        <color indexed="64"/>
      </top>
      <bottom/>
      <diagonal/>
    </border>
    <border>
      <left style="hair">
        <color indexed="64"/>
      </left>
      <right style="double">
        <color indexed="64"/>
      </right>
      <top style="double">
        <color indexed="64"/>
      </top>
      <bottom style="hair">
        <color indexed="64"/>
      </bottom>
      <diagonal/>
    </border>
    <border>
      <left style="hair">
        <color indexed="64"/>
      </left>
      <right/>
      <top style="hair">
        <color indexed="64"/>
      </top>
      <bottom style="medium">
        <color indexed="64"/>
      </bottom>
      <diagonal/>
    </border>
    <border>
      <left style="double">
        <color indexed="64"/>
      </left>
      <right style="hair">
        <color indexed="64"/>
      </right>
      <top style="hair">
        <color indexed="64"/>
      </top>
      <bottom style="medium">
        <color indexed="64"/>
      </bottom>
      <diagonal/>
    </border>
    <border>
      <left style="medium">
        <color indexed="64"/>
      </left>
      <right style="medium">
        <color indexed="64"/>
      </right>
      <top/>
      <bottom/>
      <diagonal/>
    </border>
    <border>
      <left style="hair">
        <color indexed="64"/>
      </left>
      <right/>
      <top style="double">
        <color indexed="64"/>
      </top>
      <bottom style="medium">
        <color indexed="64"/>
      </bottom>
      <diagonal/>
    </border>
    <border>
      <left style="hair">
        <color indexed="64"/>
      </left>
      <right/>
      <top style="medium">
        <color indexed="64"/>
      </top>
      <bottom style="medium">
        <color indexed="64"/>
      </bottom>
      <diagonal/>
    </border>
    <border>
      <left style="hair">
        <color indexed="64"/>
      </left>
      <right style="double">
        <color indexed="64"/>
      </right>
      <top/>
      <bottom style="hair">
        <color indexed="64"/>
      </bottom>
      <diagonal/>
    </border>
    <border>
      <left style="double">
        <color indexed="64"/>
      </left>
      <right style="medium">
        <color indexed="64"/>
      </right>
      <top style="hair">
        <color indexed="64"/>
      </top>
      <bottom/>
      <diagonal/>
    </border>
    <border>
      <left style="hair">
        <color indexed="64"/>
      </left>
      <right style="double">
        <color indexed="64"/>
      </right>
      <top style="hair">
        <color indexed="64"/>
      </top>
      <bottom/>
      <diagonal/>
    </border>
    <border>
      <left/>
      <right style="hair">
        <color indexed="64"/>
      </right>
      <top style="double">
        <color indexed="64"/>
      </top>
      <bottom style="medium">
        <color indexed="64"/>
      </bottom>
      <diagonal/>
    </border>
    <border>
      <left style="thin">
        <color indexed="64"/>
      </left>
      <right style="thin">
        <color indexed="64"/>
      </right>
      <top/>
      <bottom style="medium">
        <color indexed="64"/>
      </bottom>
      <diagonal/>
    </border>
    <border>
      <left/>
      <right style="medium">
        <color indexed="64"/>
      </right>
      <top/>
      <bottom style="hair">
        <color indexed="64"/>
      </bottom>
      <diagonal/>
    </border>
    <border>
      <left style="hair">
        <color indexed="64"/>
      </left>
      <right style="double">
        <color indexed="64"/>
      </right>
      <top/>
      <bottom/>
      <diagonal/>
    </border>
    <border>
      <left style="double">
        <color indexed="64"/>
      </left>
      <right style="hair">
        <color indexed="64"/>
      </right>
      <top/>
      <bottom/>
      <diagonal/>
    </border>
    <border>
      <left style="hair">
        <color indexed="64"/>
      </left>
      <right style="double">
        <color indexed="64"/>
      </right>
      <top style="hair">
        <color indexed="64"/>
      </top>
      <bottom style="medium">
        <color indexed="64"/>
      </bottom>
      <diagonal/>
    </border>
    <border>
      <left style="medium">
        <color indexed="64"/>
      </left>
      <right style="thin">
        <color indexed="64"/>
      </right>
      <top style="medium">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diagonal/>
    </border>
    <border>
      <left/>
      <right/>
      <top style="double">
        <color indexed="64"/>
      </top>
      <bottom style="hair">
        <color indexed="64"/>
      </bottom>
      <diagonal/>
    </border>
    <border>
      <left style="medium">
        <color indexed="64"/>
      </left>
      <right/>
      <top style="medium">
        <color indexed="64"/>
      </top>
      <bottom style="hair">
        <color indexed="64"/>
      </bottom>
      <diagonal/>
    </border>
    <border>
      <left style="medium">
        <color indexed="64"/>
      </left>
      <right style="medium">
        <color indexed="64"/>
      </right>
      <top style="medium">
        <color indexed="64"/>
      </top>
      <bottom/>
      <diagonal/>
    </border>
    <border>
      <left style="thin">
        <color indexed="64"/>
      </left>
      <right/>
      <top style="medium">
        <color indexed="64"/>
      </top>
      <bottom/>
      <diagonal/>
    </border>
    <border>
      <left/>
      <right style="thin">
        <color indexed="64"/>
      </right>
      <top style="medium">
        <color indexed="64"/>
      </top>
      <bottom/>
      <diagonal/>
    </border>
    <border>
      <left/>
      <right style="thin">
        <color indexed="64"/>
      </right>
      <top/>
      <bottom style="medium">
        <color indexed="64"/>
      </bottom>
      <diagonal/>
    </border>
    <border>
      <left style="thin">
        <color indexed="64"/>
      </left>
      <right style="double">
        <color indexed="64"/>
      </right>
      <top style="medium">
        <color indexed="64"/>
      </top>
      <bottom/>
      <diagonal/>
    </border>
    <border>
      <left style="thin">
        <color indexed="64"/>
      </left>
      <right style="double">
        <color indexed="64"/>
      </right>
      <top/>
      <bottom style="medium">
        <color indexed="64"/>
      </bottom>
      <diagonal/>
    </border>
    <border>
      <left style="double">
        <color indexed="64"/>
      </left>
      <right style="medium">
        <color indexed="64"/>
      </right>
      <top style="medium">
        <color indexed="64"/>
      </top>
      <bottom/>
      <diagonal/>
    </border>
    <border>
      <left style="double">
        <color indexed="64"/>
      </left>
      <right style="medium">
        <color indexed="64"/>
      </right>
      <top/>
      <bottom style="medium">
        <color indexed="64"/>
      </bottom>
      <diagonal/>
    </border>
    <border>
      <left/>
      <right/>
      <top style="double">
        <color indexed="64"/>
      </top>
      <bottom style="double">
        <color indexed="64"/>
      </bottom>
      <diagonal/>
    </border>
    <border>
      <left style="thin">
        <color indexed="64"/>
      </left>
      <right style="thin">
        <color indexed="64"/>
      </right>
      <top style="medium">
        <color indexed="64"/>
      </top>
      <bottom style="dotted">
        <color indexed="64"/>
      </bottom>
      <diagonal/>
    </border>
    <border>
      <left style="thin">
        <color indexed="64"/>
      </left>
      <right style="thin">
        <color indexed="64"/>
      </right>
      <top style="dotted">
        <color indexed="64"/>
      </top>
      <bottom style="medium">
        <color indexed="64"/>
      </bottom>
      <diagonal/>
    </border>
    <border>
      <left style="thin">
        <color indexed="64"/>
      </left>
      <right style="thin">
        <color indexed="64"/>
      </right>
      <top style="medium">
        <color indexed="64"/>
      </top>
      <bottom style="hair">
        <color indexed="64"/>
      </bottom>
      <diagonal/>
    </border>
    <border>
      <left style="thin">
        <color indexed="64"/>
      </left>
      <right style="medium">
        <color indexed="64"/>
      </right>
      <top style="medium">
        <color indexed="64"/>
      </top>
      <bottom style="hair">
        <color indexed="64"/>
      </bottom>
      <diagonal/>
    </border>
    <border>
      <left style="medium">
        <color indexed="64"/>
      </left>
      <right style="thin">
        <color indexed="64"/>
      </right>
      <top style="medium">
        <color indexed="64"/>
      </top>
      <bottom style="dotted">
        <color indexed="64"/>
      </bottom>
      <diagonal/>
    </border>
    <border>
      <left style="medium">
        <color indexed="64"/>
      </left>
      <right style="thin">
        <color indexed="64"/>
      </right>
      <top style="dotted">
        <color indexed="64"/>
      </top>
      <bottom style="medium">
        <color indexed="64"/>
      </bottom>
      <diagonal/>
    </border>
    <border>
      <left style="thin">
        <color indexed="64"/>
      </left>
      <right style="double">
        <color indexed="64"/>
      </right>
      <top style="medium">
        <color indexed="64"/>
      </top>
      <bottom style="dotted">
        <color indexed="64"/>
      </bottom>
      <diagonal/>
    </border>
    <border>
      <left style="thin">
        <color indexed="64"/>
      </left>
      <right style="double">
        <color indexed="64"/>
      </right>
      <top style="dotted">
        <color indexed="64"/>
      </top>
      <bottom style="medium">
        <color indexed="64"/>
      </bottom>
      <diagonal/>
    </border>
    <border>
      <left/>
      <right style="double">
        <color indexed="64"/>
      </right>
      <top style="double">
        <color indexed="64"/>
      </top>
      <bottom style="hair">
        <color indexed="64"/>
      </bottom>
      <diagonal/>
    </border>
    <border>
      <left/>
      <right style="double">
        <color indexed="64"/>
      </right>
      <top style="hair">
        <color indexed="64"/>
      </top>
      <bottom style="hair">
        <color indexed="64"/>
      </bottom>
      <diagonal/>
    </border>
    <border>
      <left/>
      <right style="double">
        <color indexed="64"/>
      </right>
      <top style="hair">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bottom/>
      <diagonal/>
    </border>
    <border>
      <left/>
      <right style="double">
        <color indexed="64"/>
      </right>
      <top/>
      <bottom style="thin">
        <color indexed="64"/>
      </bottom>
      <diagonal/>
    </border>
    <border>
      <left/>
      <right style="double">
        <color indexed="64"/>
      </right>
      <top style="thin">
        <color indexed="64"/>
      </top>
      <bottom style="medium">
        <color indexed="64"/>
      </bottom>
      <diagonal/>
    </border>
    <border>
      <left style="double">
        <color indexed="64"/>
      </left>
      <right style="thin">
        <color indexed="64"/>
      </right>
      <top style="medium">
        <color indexed="64"/>
      </top>
      <bottom style="thin">
        <color indexed="64"/>
      </bottom>
      <diagonal/>
    </border>
    <border>
      <left style="double">
        <color indexed="64"/>
      </left>
      <right style="thin">
        <color indexed="64"/>
      </right>
      <top style="thin">
        <color indexed="64"/>
      </top>
      <bottom style="thin">
        <color indexed="64"/>
      </bottom>
      <diagonal/>
    </border>
    <border>
      <left/>
      <right style="double">
        <color indexed="64"/>
      </right>
      <top style="medium">
        <color indexed="64"/>
      </top>
      <bottom/>
      <diagonal/>
    </border>
    <border>
      <left style="thin">
        <color indexed="64"/>
      </left>
      <right style="double">
        <color indexed="64"/>
      </right>
      <top style="medium">
        <color indexed="64"/>
      </top>
      <bottom style="thin">
        <color indexed="64"/>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medium">
        <color indexed="64"/>
      </left>
      <right/>
      <top style="hair">
        <color indexed="64"/>
      </top>
      <bottom/>
      <diagonal/>
    </border>
    <border>
      <left/>
      <right style="medium">
        <color indexed="64"/>
      </right>
      <top style="hair">
        <color indexed="64"/>
      </top>
      <bottom style="hair">
        <color indexed="64"/>
      </bottom>
      <diagonal/>
    </border>
    <border>
      <left style="hair">
        <color indexed="64"/>
      </left>
      <right/>
      <top/>
      <bottom/>
      <diagonal/>
    </border>
    <border>
      <left style="hair">
        <color indexed="64"/>
      </left>
      <right style="double">
        <color indexed="64"/>
      </right>
      <top style="hair">
        <color indexed="64"/>
      </top>
      <bottom style="double">
        <color indexed="64"/>
      </bottom>
      <diagonal/>
    </border>
    <border>
      <left/>
      <right style="medium">
        <color indexed="64"/>
      </right>
      <top style="double">
        <color indexed="64"/>
      </top>
      <bottom style="hair">
        <color indexed="64"/>
      </bottom>
      <diagonal/>
    </border>
    <border>
      <left/>
      <right style="medium">
        <color indexed="64"/>
      </right>
      <top style="hair">
        <color indexed="64"/>
      </top>
      <bottom style="double">
        <color indexed="64"/>
      </bottom>
      <diagonal/>
    </border>
    <border>
      <left style="hair">
        <color indexed="64"/>
      </left>
      <right style="double">
        <color indexed="64"/>
      </right>
      <top/>
      <bottom style="double">
        <color indexed="64"/>
      </bottom>
      <diagonal/>
    </border>
    <border>
      <left style="double">
        <color indexed="64"/>
      </left>
      <right/>
      <top style="medium">
        <color indexed="64"/>
      </top>
      <bottom/>
      <diagonal/>
    </border>
    <border>
      <left/>
      <right style="double">
        <color indexed="64"/>
      </right>
      <top/>
      <bottom style="hair">
        <color indexed="64"/>
      </bottom>
      <diagonal/>
    </border>
    <border>
      <left style="double">
        <color indexed="64"/>
      </left>
      <right/>
      <top/>
      <bottom style="hair">
        <color indexed="64"/>
      </bottom>
      <diagonal/>
    </border>
    <border>
      <left style="hair">
        <color indexed="64"/>
      </left>
      <right style="hair">
        <color indexed="64"/>
      </right>
      <top/>
      <bottom style="double">
        <color indexed="64"/>
      </bottom>
      <diagonal/>
    </border>
    <border>
      <left style="medium">
        <color indexed="64"/>
      </left>
      <right/>
      <top/>
      <bottom style="hair">
        <color indexed="64"/>
      </bottom>
      <diagonal/>
    </border>
    <border>
      <left/>
      <right style="double">
        <color indexed="64"/>
      </right>
      <top/>
      <bottom/>
      <diagonal/>
    </border>
    <border>
      <left/>
      <right style="double">
        <color indexed="64"/>
      </right>
      <top style="hair">
        <color indexed="64"/>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top/>
      <bottom style="double">
        <color indexed="64"/>
      </bottom>
      <diagonal/>
    </border>
    <border>
      <left style="thin">
        <color indexed="64"/>
      </left>
      <right style="thin">
        <color indexed="64"/>
      </right>
      <top/>
      <bottom style="double">
        <color indexed="64"/>
      </bottom>
      <diagonal/>
    </border>
    <border>
      <left style="thin">
        <color indexed="64"/>
      </left>
      <right style="thin">
        <color indexed="64"/>
      </right>
      <top/>
      <bottom style="thin">
        <color indexed="64"/>
      </bottom>
      <diagonal/>
    </border>
    <border>
      <left style="medium">
        <color indexed="64"/>
      </left>
      <right/>
      <top style="double">
        <color indexed="64"/>
      </top>
      <bottom style="hair">
        <color indexed="64"/>
      </bottom>
      <diagonal/>
    </border>
    <border>
      <left/>
      <right style="medium">
        <color indexed="64"/>
      </right>
      <top style="hair">
        <color indexed="64"/>
      </top>
      <bottom style="medium">
        <color indexed="64"/>
      </bottom>
      <diagonal/>
    </border>
    <border>
      <left style="double">
        <color indexed="64"/>
      </left>
      <right style="medium">
        <color indexed="64"/>
      </right>
      <top style="double">
        <color indexed="64"/>
      </top>
      <bottom style="hair">
        <color indexed="64"/>
      </bottom>
      <diagonal/>
    </border>
    <border>
      <left style="medium">
        <color indexed="64"/>
      </left>
      <right style="hair">
        <color indexed="64"/>
      </right>
      <top style="hair">
        <color indexed="64"/>
      </top>
      <bottom style="double">
        <color indexed="64"/>
      </bottom>
      <diagonal/>
    </border>
    <border>
      <left style="medium">
        <color indexed="64"/>
      </left>
      <right/>
      <top style="hair">
        <color indexed="64"/>
      </top>
      <bottom style="medium">
        <color indexed="64"/>
      </bottom>
      <diagonal/>
    </border>
    <border>
      <left style="thin">
        <color indexed="64"/>
      </left>
      <right style="thin">
        <color indexed="64"/>
      </right>
      <top style="double">
        <color indexed="64"/>
      </top>
      <bottom style="double">
        <color indexed="64"/>
      </bottom>
      <diagonal/>
    </border>
    <border>
      <left style="thin">
        <color indexed="64"/>
      </left>
      <right/>
      <top style="double">
        <color indexed="64"/>
      </top>
      <bottom style="double">
        <color indexed="64"/>
      </bottom>
      <diagonal/>
    </border>
    <border>
      <left style="hair">
        <color indexed="64"/>
      </left>
      <right style="medium">
        <color indexed="64"/>
      </right>
      <top/>
      <bottom/>
      <diagonal/>
    </border>
    <border>
      <left style="hair">
        <color indexed="64"/>
      </left>
      <right style="medium">
        <color indexed="64"/>
      </right>
      <top/>
      <bottom style="double">
        <color indexed="64"/>
      </bottom>
      <diagonal/>
    </border>
    <border>
      <left/>
      <right style="hair">
        <color indexed="64"/>
      </right>
      <top/>
      <bottom style="double">
        <color indexed="64"/>
      </bottom>
      <diagonal/>
    </border>
    <border>
      <left style="hair">
        <color indexed="64"/>
      </left>
      <right style="hair">
        <color indexed="64"/>
      </right>
      <top/>
      <bottom style="medium">
        <color indexed="64"/>
      </bottom>
      <diagonal/>
    </border>
    <border>
      <left style="medium">
        <color indexed="64"/>
      </left>
      <right style="hair">
        <color indexed="64"/>
      </right>
      <top/>
      <bottom/>
      <diagonal/>
    </border>
    <border>
      <left/>
      <right style="medium">
        <color indexed="64"/>
      </right>
      <top style="medium">
        <color indexed="64"/>
      </top>
      <bottom style="medium">
        <color indexed="64"/>
      </bottom>
      <diagonal/>
    </border>
    <border>
      <left style="double">
        <color indexed="64"/>
      </left>
      <right/>
      <top style="medium">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double">
        <color indexed="64"/>
      </top>
      <bottom style="medium">
        <color indexed="64"/>
      </bottom>
      <diagonal/>
    </border>
    <border>
      <left style="double">
        <color indexed="64"/>
      </left>
      <right/>
      <top style="thin">
        <color indexed="64"/>
      </top>
      <bottom style="medium">
        <color indexed="64"/>
      </bottom>
      <diagonal/>
    </border>
    <border>
      <left/>
      <right style="medium">
        <color indexed="64"/>
      </right>
      <top style="thin">
        <color indexed="64"/>
      </top>
      <bottom style="double">
        <color indexed="64"/>
      </bottom>
      <diagonal/>
    </border>
    <border>
      <left/>
      <right style="medium">
        <color indexed="64"/>
      </right>
      <top style="double">
        <color indexed="64"/>
      </top>
      <bottom style="medium">
        <color indexed="64"/>
      </bottom>
      <diagonal/>
    </border>
    <border>
      <left style="hair">
        <color indexed="64"/>
      </left>
      <right/>
      <top/>
      <bottom style="double">
        <color indexed="64"/>
      </bottom>
      <diagonal/>
    </border>
    <border>
      <left style="double">
        <color indexed="64"/>
      </left>
      <right/>
      <top style="hair">
        <color indexed="64"/>
      </top>
      <bottom style="hair">
        <color indexed="64"/>
      </bottom>
      <diagonal/>
    </border>
    <border>
      <left/>
      <right style="double">
        <color indexed="64"/>
      </right>
      <top style="hair">
        <color indexed="64"/>
      </top>
      <bottom/>
      <diagonal/>
    </border>
    <border>
      <left/>
      <right style="medium">
        <color indexed="64"/>
      </right>
      <top style="hair">
        <color indexed="64"/>
      </top>
      <bottom/>
      <diagonal/>
    </border>
    <border>
      <left style="thin">
        <color indexed="64"/>
      </left>
      <right style="double">
        <color indexed="64"/>
      </right>
      <top/>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style="double">
        <color indexed="64"/>
      </bottom>
      <diagonal/>
    </border>
    <border>
      <left style="thin">
        <color indexed="64"/>
      </left>
      <right style="double">
        <color indexed="64"/>
      </right>
      <top style="double">
        <color indexed="64"/>
      </top>
      <bottom style="double">
        <color indexed="64"/>
      </bottom>
      <diagonal/>
    </border>
    <border>
      <left style="thin">
        <color indexed="64"/>
      </left>
      <right style="double">
        <color indexed="64"/>
      </right>
      <top/>
      <bottom style="thin">
        <color indexed="64"/>
      </bottom>
      <diagonal/>
    </border>
    <border>
      <left style="thin">
        <color indexed="64"/>
      </left>
      <right style="double">
        <color indexed="64"/>
      </right>
      <top style="double">
        <color indexed="64"/>
      </top>
      <bottom/>
      <diagonal/>
    </border>
    <border>
      <left style="hair">
        <color indexed="64"/>
      </left>
      <right/>
      <top style="double">
        <color indexed="64"/>
      </top>
      <bottom/>
      <diagonal/>
    </border>
    <border>
      <left/>
      <right style="hair">
        <color indexed="64"/>
      </right>
      <top style="double">
        <color indexed="64"/>
      </top>
      <bottom/>
      <diagonal/>
    </border>
    <border>
      <left style="hair">
        <color indexed="64"/>
      </left>
      <right style="hair">
        <color indexed="64"/>
      </right>
      <top style="double">
        <color indexed="64"/>
      </top>
      <bottom/>
      <diagonal/>
    </border>
    <border>
      <left style="hair">
        <color indexed="64"/>
      </left>
      <right style="double">
        <color indexed="64"/>
      </right>
      <top style="double">
        <color indexed="64"/>
      </top>
      <bottom/>
      <diagonal/>
    </border>
    <border>
      <left style="hair">
        <color indexed="64"/>
      </left>
      <right style="medium">
        <color indexed="64"/>
      </right>
      <top style="double">
        <color indexed="64"/>
      </top>
      <bottom/>
      <diagonal/>
    </border>
    <border>
      <left style="thin">
        <color indexed="64"/>
      </left>
      <right style="medium">
        <color indexed="64"/>
      </right>
      <top style="medium">
        <color indexed="64"/>
      </top>
      <bottom style="medium">
        <color indexed="64"/>
      </bottom>
      <diagonal/>
    </border>
    <border>
      <left/>
      <right/>
      <top style="thin">
        <color indexed="64"/>
      </top>
      <bottom/>
      <diagonal/>
    </border>
    <border>
      <left style="double">
        <color indexed="64"/>
      </left>
      <right/>
      <top style="medium">
        <color indexed="64"/>
      </top>
      <bottom style="hair">
        <color indexed="64"/>
      </bottom>
      <diagonal/>
    </border>
    <border>
      <left/>
      <right style="medium">
        <color indexed="64"/>
      </right>
      <top style="medium">
        <color indexed="64"/>
      </top>
      <bottom style="hair">
        <color indexed="64"/>
      </bottom>
      <diagonal/>
    </border>
    <border>
      <left style="hair">
        <color indexed="64"/>
      </left>
      <right style="double">
        <color indexed="64"/>
      </right>
      <top style="medium">
        <color indexed="64"/>
      </top>
      <bottom style="medium">
        <color indexed="64"/>
      </bottom>
      <diagonal/>
    </border>
    <border>
      <left style="hair">
        <color indexed="64"/>
      </left>
      <right style="medium">
        <color indexed="64"/>
      </right>
      <top style="medium">
        <color indexed="64"/>
      </top>
      <bottom style="medium">
        <color indexed="64"/>
      </bottom>
      <diagonal/>
    </border>
    <border>
      <left style="medium">
        <color indexed="64"/>
      </left>
      <right style="hair">
        <color indexed="64"/>
      </right>
      <top style="double">
        <color indexed="64"/>
      </top>
      <bottom style="medium">
        <color indexed="64"/>
      </bottom>
      <diagonal/>
    </border>
    <border>
      <left style="hair">
        <color indexed="64"/>
      </left>
      <right style="medium">
        <color indexed="64"/>
      </right>
      <top style="double">
        <color indexed="64"/>
      </top>
      <bottom style="medium">
        <color indexed="64"/>
      </bottom>
      <diagonal/>
    </border>
    <border>
      <left/>
      <right style="thin">
        <color auto="1"/>
      </right>
      <top style="medium">
        <color auto="1"/>
      </top>
      <bottom style="medium">
        <color auto="1"/>
      </bottom>
      <diagonal/>
    </border>
    <border>
      <left style="double">
        <color indexed="64"/>
      </left>
      <right style="double">
        <color indexed="64"/>
      </right>
      <top style="medium">
        <color indexed="64"/>
      </top>
      <bottom/>
      <diagonal/>
    </border>
    <border>
      <left/>
      <right style="double">
        <color auto="1"/>
      </right>
      <top style="medium">
        <color auto="1"/>
      </top>
      <bottom style="thin">
        <color auto="1"/>
      </bottom>
      <diagonal/>
    </border>
    <border>
      <left style="double">
        <color indexed="64"/>
      </left>
      <right style="double">
        <color indexed="64"/>
      </right>
      <top/>
      <bottom/>
      <diagonal/>
    </border>
    <border>
      <left/>
      <right style="thin">
        <color indexed="64"/>
      </right>
      <top style="thin">
        <color indexed="64"/>
      </top>
      <bottom style="medium">
        <color indexed="64"/>
      </bottom>
      <diagonal/>
    </border>
    <border>
      <left/>
      <right style="thin">
        <color indexed="64"/>
      </right>
      <top style="thin">
        <color indexed="64"/>
      </top>
      <bottom style="thin">
        <color indexed="64"/>
      </bottom>
      <diagonal/>
    </border>
    <border>
      <left style="thin">
        <color indexed="64"/>
      </left>
      <right style="double">
        <color indexed="64"/>
      </right>
      <top style="thin">
        <color indexed="64"/>
      </top>
      <bottom style="medium">
        <color indexed="64"/>
      </bottom>
      <diagonal/>
    </border>
    <border>
      <left/>
      <right style="thin">
        <color indexed="64"/>
      </right>
      <top/>
      <bottom style="thin">
        <color indexed="64"/>
      </bottom>
      <diagonal/>
    </border>
    <border>
      <left style="double">
        <color indexed="64"/>
      </left>
      <right style="hair">
        <color indexed="64"/>
      </right>
      <top style="medium">
        <color indexed="64"/>
      </top>
      <bottom/>
      <diagonal/>
    </border>
    <border>
      <left style="hair">
        <color indexed="64"/>
      </left>
      <right/>
      <top style="medium">
        <color indexed="64"/>
      </top>
      <bottom/>
      <diagonal/>
    </border>
    <border>
      <left style="hair">
        <color indexed="64"/>
      </left>
      <right style="medium">
        <color indexed="64"/>
      </right>
      <top style="medium">
        <color indexed="64"/>
      </top>
      <bottom/>
      <diagonal/>
    </border>
    <border>
      <left style="double">
        <color indexed="64"/>
      </left>
      <right style="double">
        <color indexed="64"/>
      </right>
      <top style="hair">
        <color indexed="64"/>
      </top>
      <bottom style="hair">
        <color indexed="64"/>
      </bottom>
      <diagonal/>
    </border>
    <border>
      <left style="double">
        <color indexed="64"/>
      </left>
      <right style="double">
        <color indexed="64"/>
      </right>
      <top style="medium">
        <color indexed="64"/>
      </top>
      <bottom style="medium">
        <color indexed="64"/>
      </bottom>
      <diagonal/>
    </border>
    <border>
      <left style="double">
        <color indexed="64"/>
      </left>
      <right style="hair">
        <color indexed="64"/>
      </right>
      <top style="medium">
        <color indexed="64"/>
      </top>
      <bottom style="medium">
        <color indexed="64"/>
      </bottom>
      <diagonal/>
    </border>
    <border>
      <left style="medium">
        <color indexed="64"/>
      </left>
      <right/>
      <top style="thin">
        <color indexed="64"/>
      </top>
      <bottom/>
      <diagonal/>
    </border>
    <border>
      <left/>
      <right style="medium">
        <color indexed="64"/>
      </right>
      <top style="thin">
        <color indexed="64"/>
      </top>
      <bottom/>
      <diagonal/>
    </border>
    <border>
      <left style="double">
        <color indexed="64"/>
      </left>
      <right style="double">
        <color indexed="64"/>
      </right>
      <top style="hair">
        <color indexed="64"/>
      </top>
      <bottom/>
      <diagonal/>
    </border>
    <border>
      <left/>
      <right/>
      <top style="hair">
        <color indexed="64"/>
      </top>
      <bottom style="medium">
        <color indexed="64"/>
      </bottom>
      <diagonal/>
    </border>
  </borders>
  <cellStyleXfs count="56">
    <xf numFmtId="0" fontId="0" fillId="0" borderId="0"/>
    <xf numFmtId="164" fontId="15" fillId="0" borderId="0" applyFont="0" applyFill="0" applyBorder="0" applyAlignment="0" applyProtection="0"/>
    <xf numFmtId="164" fontId="16" fillId="0" borderId="0" applyFont="0" applyFill="0" applyBorder="0" applyAlignment="0" applyProtection="0"/>
    <xf numFmtId="164" fontId="31" fillId="0" borderId="0" applyFont="0" applyFill="0" applyBorder="0" applyAlignment="0" applyProtection="0"/>
    <xf numFmtId="164" fontId="31" fillId="0" borderId="0" applyFont="0" applyFill="0" applyBorder="0" applyAlignment="0" applyProtection="0"/>
    <xf numFmtId="164" fontId="31" fillId="0" borderId="0" applyFont="0" applyFill="0" applyBorder="0" applyAlignment="0" applyProtection="0"/>
    <xf numFmtId="164" fontId="11" fillId="0" borderId="0" applyFont="0" applyFill="0" applyBorder="0" applyAlignment="0" applyProtection="0"/>
    <xf numFmtId="0" fontId="31" fillId="0" borderId="0"/>
    <xf numFmtId="0" fontId="15" fillId="0" borderId="0"/>
    <xf numFmtId="0" fontId="16" fillId="0" borderId="0"/>
    <xf numFmtId="0" fontId="16"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9"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9" fillId="0" borderId="0"/>
    <xf numFmtId="0" fontId="9" fillId="0" borderId="0"/>
    <xf numFmtId="0" fontId="11" fillId="0" borderId="0"/>
    <xf numFmtId="0" fontId="11" fillId="0" borderId="0"/>
    <xf numFmtId="0" fontId="9" fillId="0" borderId="0"/>
    <xf numFmtId="0" fontId="11" fillId="0" borderId="0"/>
    <xf numFmtId="0" fontId="11" fillId="0" borderId="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11" fillId="0" borderId="0"/>
    <xf numFmtId="0" fontId="8" fillId="0" borderId="0"/>
    <xf numFmtId="0" fontId="8" fillId="0" borderId="0"/>
    <xf numFmtId="0" fontId="8" fillId="0" borderId="0"/>
    <xf numFmtId="0" fontId="8" fillId="0" borderId="0"/>
    <xf numFmtId="0" fontId="8" fillId="0" borderId="0"/>
    <xf numFmtId="0" fontId="8" fillId="0" borderId="0"/>
    <xf numFmtId="164" fontId="7" fillId="0" borderId="0" applyFont="0" applyFill="0" applyBorder="0" applyAlignment="0" applyProtection="0"/>
    <xf numFmtId="0" fontId="6" fillId="0" borderId="0"/>
    <xf numFmtId="0" fontId="6" fillId="0" borderId="0"/>
    <xf numFmtId="0" fontId="5" fillId="0" borderId="0"/>
    <xf numFmtId="0" fontId="4" fillId="0" borderId="0"/>
    <xf numFmtId="0" fontId="4" fillId="0" borderId="0"/>
    <xf numFmtId="0" fontId="3" fillId="0" borderId="0"/>
    <xf numFmtId="0" fontId="3" fillId="0" borderId="0"/>
    <xf numFmtId="164" fontId="2" fillId="0" borderId="0" applyFont="0" applyFill="0" applyBorder="0" applyAlignment="0" applyProtection="0"/>
    <xf numFmtId="164" fontId="1" fillId="0" borderId="0" applyFont="0" applyFill="0" applyBorder="0" applyAlignment="0" applyProtection="0"/>
    <xf numFmtId="0" fontId="55" fillId="0" borderId="0"/>
    <xf numFmtId="0" fontId="11" fillId="0" borderId="0"/>
  </cellStyleXfs>
  <cellXfs count="2082">
    <xf numFmtId="0" fontId="0" fillId="0" borderId="0" xfId="0"/>
    <xf numFmtId="0" fontId="10" fillId="0" borderId="0" xfId="0" applyFont="1" applyAlignment="1">
      <alignment vertical="center"/>
    </xf>
    <xf numFmtId="3" fontId="10" fillId="0" borderId="0" xfId="0" applyNumberFormat="1" applyFont="1"/>
    <xf numFmtId="0" fontId="10" fillId="0" borderId="0" xfId="0" applyFont="1" applyAlignment="1">
      <alignment horizontal="center" vertical="center"/>
    </xf>
    <xf numFmtId="4" fontId="10" fillId="0" borderId="0" xfId="0" applyNumberFormat="1" applyFont="1" applyAlignment="1">
      <alignment horizontal="left" vertical="center"/>
    </xf>
    <xf numFmtId="4" fontId="10" fillId="0" borderId="0" xfId="0" applyNumberFormat="1" applyFont="1" applyAlignment="1">
      <alignment vertical="center"/>
    </xf>
    <xf numFmtId="4" fontId="14" fillId="0" borderId="0" xfId="0" applyNumberFormat="1" applyFont="1" applyAlignment="1">
      <alignment horizontal="center" vertical="center"/>
    </xf>
    <xf numFmtId="0" fontId="17" fillId="0" borderId="1" xfId="0" applyFont="1" applyBorder="1" applyAlignment="1">
      <alignment horizontal="center" vertical="center" textRotation="90"/>
    </xf>
    <xf numFmtId="0" fontId="10" fillId="0" borderId="2" xfId="0" applyFont="1" applyBorder="1" applyAlignment="1">
      <alignment horizontal="center" vertical="center" wrapText="1"/>
    </xf>
    <xf numFmtId="4" fontId="10" fillId="0" borderId="3" xfId="0" applyNumberFormat="1" applyFont="1" applyBorder="1" applyAlignment="1">
      <alignment horizontal="center" vertical="center"/>
    </xf>
    <xf numFmtId="0" fontId="10" fillId="0" borderId="4" xfId="0" applyFont="1" applyBorder="1" applyAlignment="1">
      <alignment horizontal="center" vertical="center"/>
    </xf>
    <xf numFmtId="0" fontId="12" fillId="0" borderId="0" xfId="0" applyFont="1" applyAlignment="1">
      <alignment vertical="center"/>
    </xf>
    <xf numFmtId="0" fontId="10" fillId="0" borderId="5" xfId="0" applyFont="1" applyBorder="1" applyAlignment="1">
      <alignment horizontal="center" vertical="center"/>
    </xf>
    <xf numFmtId="165" fontId="12" fillId="0" borderId="6" xfId="0" applyNumberFormat="1" applyFont="1" applyBorder="1" applyAlignment="1">
      <alignment vertical="center" wrapText="1"/>
    </xf>
    <xf numFmtId="0" fontId="10" fillId="0" borderId="0" xfId="0" applyFont="1" applyAlignment="1">
      <alignment vertical="center" wrapText="1"/>
    </xf>
    <xf numFmtId="4" fontId="10" fillId="0" borderId="0" xfId="0" applyNumberFormat="1" applyFont="1" applyAlignment="1">
      <alignment horizontal="center" vertical="center"/>
    </xf>
    <xf numFmtId="0" fontId="12" fillId="0" borderId="0" xfId="0" applyFont="1" applyAlignment="1">
      <alignment vertical="center" wrapText="1"/>
    </xf>
    <xf numFmtId="4" fontId="12" fillId="0" borderId="0" xfId="0" applyNumberFormat="1" applyFont="1" applyAlignment="1">
      <alignment vertical="center"/>
    </xf>
    <xf numFmtId="4" fontId="10" fillId="0" borderId="0" xfId="0" applyNumberFormat="1" applyFont="1" applyAlignment="1">
      <alignment horizontal="right" vertical="center"/>
    </xf>
    <xf numFmtId="0" fontId="10" fillId="0" borderId="0" xfId="0" applyFont="1"/>
    <xf numFmtId="3" fontId="14" fillId="0" borderId="0" xfId="0" applyNumberFormat="1" applyFont="1" applyAlignment="1">
      <alignment horizontal="center"/>
    </xf>
    <xf numFmtId="3" fontId="12" fillId="0" borderId="8" xfId="0" applyNumberFormat="1" applyFont="1" applyBorder="1" applyAlignment="1">
      <alignment vertical="center"/>
    </xf>
    <xf numFmtId="3" fontId="10" fillId="0" borderId="9" xfId="0" applyNumberFormat="1" applyFont="1" applyBorder="1"/>
    <xf numFmtId="3" fontId="10" fillId="0" borderId="0" xfId="26" applyNumberFormat="1" applyFont="1"/>
    <xf numFmtId="3" fontId="10" fillId="0" borderId="0" xfId="26" applyNumberFormat="1" applyFont="1" applyAlignment="1">
      <alignment horizontal="right"/>
    </xf>
    <xf numFmtId="3" fontId="10" fillId="0" borderId="0" xfId="26" applyNumberFormat="1" applyFont="1" applyAlignment="1">
      <alignment vertical="center"/>
    </xf>
    <xf numFmtId="3" fontId="10" fillId="0" borderId="0" xfId="26" applyNumberFormat="1" applyFont="1" applyAlignment="1">
      <alignment horizontal="center" vertical="center"/>
    </xf>
    <xf numFmtId="3" fontId="12" fillId="0" borderId="10" xfId="26" applyNumberFormat="1" applyFont="1" applyBorder="1" applyAlignment="1">
      <alignment horizontal="center"/>
    </xf>
    <xf numFmtId="3" fontId="10" fillId="0" borderId="10" xfId="26" applyNumberFormat="1" applyFont="1" applyBorder="1" applyAlignment="1">
      <alignment horizontal="center"/>
    </xf>
    <xf numFmtId="3" fontId="12" fillId="0" borderId="10" xfId="26" applyNumberFormat="1" applyFont="1" applyBorder="1" applyAlignment="1">
      <alignment wrapText="1"/>
    </xf>
    <xf numFmtId="3" fontId="12" fillId="0" borderId="10" xfId="26" applyNumberFormat="1" applyFont="1" applyBorder="1"/>
    <xf numFmtId="3" fontId="12" fillId="0" borderId="0" xfId="26" applyNumberFormat="1" applyFont="1"/>
    <xf numFmtId="49" fontId="10" fillId="0" borderId="4" xfId="26" applyNumberFormat="1" applyFont="1" applyBorder="1" applyAlignment="1">
      <alignment horizontal="center"/>
    </xf>
    <xf numFmtId="3" fontId="10" fillId="0" borderId="0" xfId="26" applyNumberFormat="1" applyFont="1" applyAlignment="1">
      <alignment horizontal="center"/>
    </xf>
    <xf numFmtId="3" fontId="12" fillId="0" borderId="8" xfId="26" applyNumberFormat="1" applyFont="1" applyBorder="1" applyAlignment="1">
      <alignment horizontal="center"/>
    </xf>
    <xf numFmtId="3" fontId="10" fillId="0" borderId="8" xfId="26" applyNumberFormat="1" applyFont="1" applyBorder="1" applyAlignment="1">
      <alignment horizontal="center"/>
    </xf>
    <xf numFmtId="3" fontId="12" fillId="0" borderId="8" xfId="26" applyNumberFormat="1" applyFont="1" applyBorder="1"/>
    <xf numFmtId="3" fontId="12" fillId="0" borderId="0" xfId="26" applyNumberFormat="1" applyFont="1" applyAlignment="1">
      <alignment horizontal="center"/>
    </xf>
    <xf numFmtId="3" fontId="13" fillId="0" borderId="0" xfId="26" applyNumberFormat="1" applyFont="1"/>
    <xf numFmtId="3" fontId="12" fillId="0" borderId="0" xfId="26" applyNumberFormat="1" applyFont="1" applyAlignment="1">
      <alignment vertical="center"/>
    </xf>
    <xf numFmtId="3" fontId="10" fillId="0" borderId="0" xfId="26" applyNumberFormat="1" applyFont="1" applyAlignment="1">
      <alignment horizontal="left"/>
    </xf>
    <xf numFmtId="49" fontId="10" fillId="0" borderId="4" xfId="26" applyNumberFormat="1" applyFont="1" applyBorder="1" applyAlignment="1">
      <alignment horizontal="center" vertical="top"/>
    </xf>
    <xf numFmtId="3" fontId="10" fillId="0" borderId="0" xfId="26" applyNumberFormat="1" applyFont="1" applyAlignment="1">
      <alignment vertical="top"/>
    </xf>
    <xf numFmtId="49" fontId="10" fillId="0" borderId="11" xfId="26" applyNumberFormat="1" applyFont="1" applyBorder="1" applyAlignment="1">
      <alignment horizontal="center" vertical="center"/>
    </xf>
    <xf numFmtId="3" fontId="12" fillId="0" borderId="12" xfId="26" applyNumberFormat="1" applyFont="1" applyBorder="1" applyAlignment="1">
      <alignment horizontal="center" vertical="center"/>
    </xf>
    <xf numFmtId="3" fontId="10" fillId="0" borderId="12" xfId="26" applyNumberFormat="1" applyFont="1" applyBorder="1" applyAlignment="1">
      <alignment horizontal="center" vertical="center"/>
    </xf>
    <xf numFmtId="3" fontId="12" fillId="0" borderId="12" xfId="26" applyNumberFormat="1" applyFont="1" applyBorder="1" applyAlignment="1">
      <alignment vertical="center"/>
    </xf>
    <xf numFmtId="49" fontId="10" fillId="0" borderId="0" xfId="26" applyNumberFormat="1" applyFont="1" applyAlignment="1">
      <alignment horizontal="center"/>
    </xf>
    <xf numFmtId="0" fontId="10" fillId="0" borderId="4" xfId="0" applyFont="1" applyBorder="1" applyAlignment="1">
      <alignment horizontal="center"/>
    </xf>
    <xf numFmtId="0" fontId="10" fillId="0" borderId="4" xfId="0" applyFont="1" applyBorder="1" applyAlignment="1">
      <alignment horizontal="center" vertical="top"/>
    </xf>
    <xf numFmtId="0" fontId="10" fillId="0" borderId="0" xfId="0" applyFont="1" applyAlignment="1">
      <alignment vertical="top"/>
    </xf>
    <xf numFmtId="165" fontId="13" fillId="0" borderId="6" xfId="0" applyNumberFormat="1" applyFont="1" applyBorder="1" applyAlignment="1">
      <alignment horizontal="left" vertical="center" wrapText="1" indent="3"/>
    </xf>
    <xf numFmtId="0" fontId="14" fillId="0" borderId="0" xfId="0" applyFont="1" applyAlignment="1">
      <alignment horizontal="center" vertical="center"/>
    </xf>
    <xf numFmtId="0" fontId="14" fillId="0" borderId="0" xfId="0" applyFont="1" applyAlignment="1">
      <alignment horizontal="center"/>
    </xf>
    <xf numFmtId="0" fontId="14" fillId="0" borderId="0" xfId="0" applyFont="1" applyAlignment="1">
      <alignment horizontal="center" vertical="center" wrapText="1"/>
    </xf>
    <xf numFmtId="0" fontId="14" fillId="0" borderId="0" xfId="0" applyFont="1" applyAlignment="1">
      <alignment vertical="center"/>
    </xf>
    <xf numFmtId="4" fontId="14" fillId="0" borderId="18" xfId="0" applyNumberFormat="1" applyFont="1" applyBorder="1" applyAlignment="1">
      <alignment horizontal="center"/>
    </xf>
    <xf numFmtId="4" fontId="14" fillId="0" borderId="18" xfId="0" applyNumberFormat="1" applyFont="1" applyBorder="1" applyAlignment="1">
      <alignment horizontal="center" vertical="center"/>
    </xf>
    <xf numFmtId="4" fontId="18" fillId="0" borderId="19" xfId="0" applyNumberFormat="1" applyFont="1" applyBorder="1" applyAlignment="1">
      <alignment horizontal="center" vertical="center"/>
    </xf>
    <xf numFmtId="4" fontId="14" fillId="0" borderId="18" xfId="0" applyNumberFormat="1" applyFont="1" applyBorder="1" applyAlignment="1">
      <alignment horizontal="center" vertical="center" wrapText="1"/>
    </xf>
    <xf numFmtId="4" fontId="14" fillId="0" borderId="18" xfId="0" applyNumberFormat="1" applyFont="1" applyBorder="1" applyAlignment="1">
      <alignment horizontal="center" vertical="top" wrapText="1"/>
    </xf>
    <xf numFmtId="4" fontId="14" fillId="0" borderId="19" xfId="0" applyNumberFormat="1" applyFont="1" applyBorder="1" applyAlignment="1">
      <alignment horizontal="center" vertical="center"/>
    </xf>
    <xf numFmtId="4" fontId="18" fillId="0" borderId="0" xfId="0" applyNumberFormat="1" applyFont="1" applyAlignment="1">
      <alignment horizontal="center" vertical="center"/>
    </xf>
    <xf numFmtId="0" fontId="10" fillId="0" borderId="0" xfId="0" applyFont="1" applyAlignment="1">
      <alignment horizontal="center"/>
    </xf>
    <xf numFmtId="0" fontId="12" fillId="0" borderId="0" xfId="0" applyFont="1"/>
    <xf numFmtId="3" fontId="19" fillId="0" borderId="0" xfId="0" applyNumberFormat="1" applyFont="1" applyAlignment="1">
      <alignment horizontal="right" vertical="center"/>
    </xf>
    <xf numFmtId="3" fontId="14" fillId="0" borderId="0" xfId="0" applyNumberFormat="1" applyFont="1"/>
    <xf numFmtId="0" fontId="12" fillId="0" borderId="0" xfId="0" applyFont="1" applyAlignment="1">
      <alignment horizontal="center"/>
    </xf>
    <xf numFmtId="3" fontId="10" fillId="0" borderId="10" xfId="26" applyNumberFormat="1" applyFont="1" applyBorder="1" applyAlignment="1">
      <alignment horizontal="center" wrapText="1"/>
    </xf>
    <xf numFmtId="3" fontId="12" fillId="0" borderId="10" xfId="26" applyNumberFormat="1" applyFont="1" applyBorder="1" applyAlignment="1">
      <alignment horizontal="left" wrapText="1"/>
    </xf>
    <xf numFmtId="3" fontId="12" fillId="0" borderId="0" xfId="26" applyNumberFormat="1" applyFont="1" applyAlignment="1">
      <alignment horizontal="left"/>
    </xf>
    <xf numFmtId="0" fontId="12" fillId="0" borderId="9" xfId="0" applyFont="1" applyBorder="1" applyAlignment="1">
      <alignment horizontal="center"/>
    </xf>
    <xf numFmtId="0" fontId="10" fillId="0" borderId="9" xfId="0" applyFont="1" applyBorder="1" applyAlignment="1">
      <alignment horizontal="center" vertical="top"/>
    </xf>
    <xf numFmtId="0" fontId="12" fillId="0" borderId="9" xfId="0" applyFont="1" applyBorder="1" applyAlignment="1">
      <alignment wrapText="1"/>
    </xf>
    <xf numFmtId="3" fontId="10" fillId="0" borderId="9" xfId="26" applyNumberFormat="1" applyFont="1" applyBorder="1" applyAlignment="1">
      <alignment horizontal="center" wrapText="1"/>
    </xf>
    <xf numFmtId="3" fontId="12" fillId="0" borderId="9" xfId="26" applyNumberFormat="1" applyFont="1" applyBorder="1" applyAlignment="1">
      <alignment horizontal="left" wrapText="1"/>
    </xf>
    <xf numFmtId="0" fontId="10" fillId="0" borderId="8" xfId="0" applyFont="1" applyBorder="1" applyAlignment="1">
      <alignment horizontal="center" vertical="center"/>
    </xf>
    <xf numFmtId="0" fontId="10" fillId="0" borderId="9" xfId="0" applyFont="1" applyBorder="1" applyAlignment="1">
      <alignment horizontal="center"/>
    </xf>
    <xf numFmtId="0" fontId="12" fillId="0" borderId="27" xfId="0" applyFont="1" applyBorder="1" applyAlignment="1">
      <alignment horizontal="center" vertical="center"/>
    </xf>
    <xf numFmtId="0" fontId="10" fillId="0" borderId="27" xfId="0" applyFont="1" applyBorder="1" applyAlignment="1">
      <alignment horizontal="center" vertical="center"/>
    </xf>
    <xf numFmtId="0" fontId="12" fillId="0" borderId="27" xfId="0" applyFont="1" applyBorder="1" applyAlignment="1">
      <alignment vertical="center"/>
    </xf>
    <xf numFmtId="0" fontId="10" fillId="0" borderId="28" xfId="0" applyFont="1" applyBorder="1" applyAlignment="1">
      <alignment horizontal="center" vertical="center"/>
    </xf>
    <xf numFmtId="0" fontId="12" fillId="0" borderId="28" xfId="0" applyFont="1" applyBorder="1" applyAlignment="1">
      <alignment vertical="center"/>
    </xf>
    <xf numFmtId="0" fontId="12" fillId="0" borderId="8" xfId="0" applyFont="1" applyBorder="1" applyAlignment="1">
      <alignment vertical="center" shrinkToFit="1"/>
    </xf>
    <xf numFmtId="0" fontId="10" fillId="0" borderId="9" xfId="0" applyFont="1" applyBorder="1" applyAlignment="1">
      <alignment horizontal="left" indent="1"/>
    </xf>
    <xf numFmtId="0" fontId="10" fillId="0" borderId="29" xfId="0" applyFont="1" applyBorder="1" applyAlignment="1">
      <alignment horizontal="center" vertical="center"/>
    </xf>
    <xf numFmtId="0" fontId="12" fillId="0" borderId="29" xfId="0" applyFont="1" applyBorder="1" applyAlignment="1">
      <alignment vertical="center"/>
    </xf>
    <xf numFmtId="3" fontId="17" fillId="0" borderId="0" xfId="0" applyNumberFormat="1" applyFont="1"/>
    <xf numFmtId="3" fontId="19" fillId="0" borderId="0" xfId="0" applyNumberFormat="1" applyFont="1" applyAlignment="1">
      <alignment horizontal="right"/>
    </xf>
    <xf numFmtId="0" fontId="10" fillId="0" borderId="0" xfId="0" applyFont="1" applyAlignment="1">
      <alignment horizontal="right"/>
    </xf>
    <xf numFmtId="3" fontId="10" fillId="0" borderId="0" xfId="0" applyNumberFormat="1" applyFont="1" applyAlignment="1">
      <alignment horizontal="right"/>
    </xf>
    <xf numFmtId="3" fontId="10" fillId="0" borderId="31" xfId="26" applyNumberFormat="1" applyFont="1" applyBorder="1" applyAlignment="1">
      <alignment horizontal="center" vertical="center" wrapText="1"/>
    </xf>
    <xf numFmtId="0" fontId="18" fillId="0" borderId="0" xfId="0" applyFont="1" applyAlignment="1">
      <alignment horizontal="center"/>
    </xf>
    <xf numFmtId="3" fontId="10" fillId="0" borderId="41" xfId="26" applyNumberFormat="1" applyFont="1" applyBorder="1" applyAlignment="1">
      <alignment horizontal="center" textRotation="90" wrapText="1"/>
    </xf>
    <xf numFmtId="3" fontId="10" fillId="0" borderId="4" xfId="26" applyNumberFormat="1" applyFont="1" applyBorder="1" applyAlignment="1">
      <alignment horizontal="center" wrapText="1"/>
    </xf>
    <xf numFmtId="49" fontId="10" fillId="0" borderId="4" xfId="0" applyNumberFormat="1" applyFont="1" applyBorder="1" applyAlignment="1">
      <alignment horizontal="center" vertical="center"/>
    </xf>
    <xf numFmtId="49" fontId="10" fillId="0" borderId="4" xfId="0" applyNumberFormat="1" applyFont="1" applyBorder="1" applyAlignment="1">
      <alignment horizontal="center"/>
    </xf>
    <xf numFmtId="49" fontId="10" fillId="0" borderId="4" xfId="0" applyNumberFormat="1" applyFont="1" applyBorder="1" applyAlignment="1">
      <alignment horizontal="center" vertical="top"/>
    </xf>
    <xf numFmtId="3" fontId="10" fillId="0" borderId="42" xfId="26" applyNumberFormat="1" applyFont="1" applyBorder="1" applyAlignment="1">
      <alignment horizontal="center" textRotation="90" wrapText="1"/>
    </xf>
    <xf numFmtId="0" fontId="10" fillId="0" borderId="43" xfId="0" applyFont="1" applyBorder="1" applyAlignment="1">
      <alignment horizontal="center" vertical="center"/>
    </xf>
    <xf numFmtId="0" fontId="10" fillId="0" borderId="44" xfId="0" applyFont="1" applyBorder="1" applyAlignment="1">
      <alignment horizontal="center" vertical="center"/>
    </xf>
    <xf numFmtId="0" fontId="10" fillId="0" borderId="42" xfId="0" applyFont="1" applyBorder="1" applyAlignment="1">
      <alignment horizontal="center" vertical="center"/>
    </xf>
    <xf numFmtId="0" fontId="10" fillId="0" borderId="45" xfId="0" applyFont="1" applyBorder="1" applyAlignment="1">
      <alignment horizontal="center" vertical="center"/>
    </xf>
    <xf numFmtId="49" fontId="10" fillId="0" borderId="41" xfId="26" applyNumberFormat="1" applyFont="1" applyBorder="1" applyAlignment="1">
      <alignment horizontal="center"/>
    </xf>
    <xf numFmtId="49" fontId="10" fillId="0" borderId="42" xfId="26" applyNumberFormat="1" applyFont="1" applyBorder="1" applyAlignment="1">
      <alignment horizontal="center"/>
    </xf>
    <xf numFmtId="49" fontId="13" fillId="0" borderId="4" xfId="26" applyNumberFormat="1" applyFont="1" applyBorder="1" applyAlignment="1">
      <alignment horizontal="center"/>
    </xf>
    <xf numFmtId="49" fontId="10" fillId="0" borderId="4" xfId="26" applyNumberFormat="1" applyFont="1" applyBorder="1" applyAlignment="1">
      <alignment horizontal="center" vertical="center"/>
    </xf>
    <xf numFmtId="3" fontId="17" fillId="0" borderId="31" xfId="26" applyNumberFormat="1" applyFont="1" applyBorder="1" applyAlignment="1">
      <alignment horizontal="center" vertical="center" wrapText="1"/>
    </xf>
    <xf numFmtId="3" fontId="10" fillId="0" borderId="46" xfId="26" applyNumberFormat="1" applyFont="1" applyBorder="1" applyAlignment="1">
      <alignment horizontal="center" vertical="center" textRotation="90" wrapText="1"/>
    </xf>
    <xf numFmtId="3" fontId="12" fillId="0" borderId="31" xfId="26" applyNumberFormat="1" applyFont="1" applyBorder="1" applyAlignment="1">
      <alignment horizontal="center" vertical="center" wrapText="1"/>
    </xf>
    <xf numFmtId="3" fontId="10" fillId="0" borderId="47" xfId="26" applyNumberFormat="1" applyFont="1" applyBorder="1" applyAlignment="1">
      <alignment horizontal="center" vertical="center" wrapText="1"/>
    </xf>
    <xf numFmtId="3" fontId="12" fillId="0" borderId="10" xfId="26" applyNumberFormat="1" applyFont="1" applyBorder="1" applyAlignment="1">
      <alignment horizontal="right" wrapText="1"/>
    </xf>
    <xf numFmtId="3" fontId="12" fillId="0" borderId="9" xfId="0" applyNumberFormat="1" applyFont="1" applyBorder="1"/>
    <xf numFmtId="3" fontId="12" fillId="0" borderId="9" xfId="26" applyNumberFormat="1" applyFont="1" applyBorder="1" applyAlignment="1">
      <alignment horizontal="right" wrapText="1"/>
    </xf>
    <xf numFmtId="3" fontId="12" fillId="0" borderId="27" xfId="0" applyNumberFormat="1" applyFont="1" applyBorder="1" applyAlignment="1">
      <alignment vertical="center"/>
    </xf>
    <xf numFmtId="3" fontId="12" fillId="0" borderId="29" xfId="0" applyNumberFormat="1" applyFont="1" applyBorder="1" applyAlignment="1">
      <alignment vertical="center"/>
    </xf>
    <xf numFmtId="49" fontId="10" fillId="0" borderId="46" xfId="26" applyNumberFormat="1" applyFont="1" applyBorder="1" applyAlignment="1">
      <alignment horizontal="center" vertical="center" textRotation="90"/>
    </xf>
    <xf numFmtId="3" fontId="12" fillId="0" borderId="31" xfId="26" applyNumberFormat="1" applyFont="1" applyBorder="1" applyAlignment="1">
      <alignment horizontal="center" vertical="center"/>
    </xf>
    <xf numFmtId="3" fontId="10" fillId="0" borderId="48" xfId="26" applyNumberFormat="1" applyFont="1" applyBorder="1" applyAlignment="1">
      <alignment horizontal="center" vertical="center" wrapText="1"/>
    </xf>
    <xf numFmtId="0" fontId="10" fillId="0" borderId="0" xfId="31" applyFont="1"/>
    <xf numFmtId="0" fontId="10" fillId="0" borderId="16" xfId="31" applyFont="1" applyBorder="1" applyAlignment="1">
      <alignment horizontal="center" vertical="top"/>
    </xf>
    <xf numFmtId="0" fontId="10" fillId="0" borderId="16" xfId="28" applyFont="1" applyBorder="1" applyAlignment="1">
      <alignment wrapText="1"/>
    </xf>
    <xf numFmtId="0" fontId="10" fillId="0" borderId="0" xfId="31" applyFont="1" applyAlignment="1">
      <alignment vertical="center"/>
    </xf>
    <xf numFmtId="3" fontId="10" fillId="0" borderId="21" xfId="28" applyNumberFormat="1" applyFont="1" applyBorder="1" applyAlignment="1">
      <alignment horizontal="right"/>
    </xf>
    <xf numFmtId="3" fontId="10" fillId="0" borderId="22" xfId="31" applyNumberFormat="1" applyFont="1" applyBorder="1" applyAlignment="1">
      <alignment horizontal="right"/>
    </xf>
    <xf numFmtId="3" fontId="10" fillId="0" borderId="21" xfId="31" applyNumberFormat="1" applyFont="1" applyBorder="1" applyAlignment="1">
      <alignment horizontal="right"/>
    </xf>
    <xf numFmtId="0" fontId="10" fillId="0" borderId="0" xfId="31" applyFont="1" applyAlignment="1">
      <alignment horizontal="left"/>
    </xf>
    <xf numFmtId="3" fontId="10" fillId="0" borderId="16" xfId="31" applyNumberFormat="1" applyFont="1" applyBorder="1" applyAlignment="1">
      <alignment horizontal="right"/>
    </xf>
    <xf numFmtId="3" fontId="10" fillId="0" borderId="20" xfId="31" applyNumberFormat="1" applyFont="1" applyBorder="1" applyAlignment="1">
      <alignment horizontal="right"/>
    </xf>
    <xf numFmtId="3" fontId="10" fillId="0" borderId="0" xfId="32" applyNumberFormat="1" applyFont="1" applyAlignment="1">
      <alignment horizontal="right"/>
    </xf>
    <xf numFmtId="3" fontId="10" fillId="0" borderId="0" xfId="32" applyNumberFormat="1" applyFont="1" applyAlignment="1">
      <alignment horizontal="right" wrapText="1"/>
    </xf>
    <xf numFmtId="3" fontId="19" fillId="0" borderId="16" xfId="27" applyNumberFormat="1" applyFont="1" applyBorder="1" applyAlignment="1">
      <alignment wrapText="1"/>
    </xf>
    <xf numFmtId="3" fontId="17" fillId="0" borderId="0" xfId="0" applyNumberFormat="1" applyFont="1" applyAlignment="1">
      <alignment horizontal="center"/>
    </xf>
    <xf numFmtId="0" fontId="10" fillId="0" borderId="16" xfId="31" applyFont="1" applyBorder="1" applyAlignment="1">
      <alignment horizontal="center"/>
    </xf>
    <xf numFmtId="4" fontId="10" fillId="0" borderId="2" xfId="0" applyNumberFormat="1" applyFont="1" applyBorder="1" applyAlignment="1">
      <alignment horizontal="center" vertical="center" wrapText="1"/>
    </xf>
    <xf numFmtId="4" fontId="12" fillId="0" borderId="6" xfId="0" applyNumberFormat="1" applyFont="1" applyBorder="1" applyAlignment="1">
      <alignment vertical="center"/>
    </xf>
    <xf numFmtId="3" fontId="10" fillId="0" borderId="0" xfId="0" applyNumberFormat="1" applyFont="1" applyAlignment="1">
      <alignment vertical="center"/>
    </xf>
    <xf numFmtId="0" fontId="10" fillId="0" borderId="0" xfId="0" applyFont="1" applyAlignment="1">
      <alignment horizontal="right" vertical="center"/>
    </xf>
    <xf numFmtId="3" fontId="10" fillId="0" borderId="59" xfId="0" applyNumberFormat="1" applyFont="1" applyBorder="1"/>
    <xf numFmtId="0" fontId="12" fillId="0" borderId="8" xfId="0" applyFont="1" applyBorder="1" applyAlignment="1">
      <alignment horizontal="left" vertical="center"/>
    </xf>
    <xf numFmtId="3" fontId="12" fillId="0" borderId="61" xfId="0" applyNumberFormat="1" applyFont="1" applyBorder="1" applyAlignment="1">
      <alignment vertical="center"/>
    </xf>
    <xf numFmtId="3" fontId="12" fillId="0" borderId="63" xfId="0" applyNumberFormat="1" applyFont="1" applyBorder="1" applyAlignment="1">
      <alignment horizontal="right" vertical="center"/>
    </xf>
    <xf numFmtId="3" fontId="10" fillId="0" borderId="59" xfId="0" applyNumberFormat="1" applyFont="1" applyBorder="1" applyAlignment="1">
      <alignment horizontal="right"/>
    </xf>
    <xf numFmtId="0" fontId="12" fillId="0" borderId="27" xfId="0" applyFont="1" applyBorder="1" applyAlignment="1">
      <alignment horizontal="left" vertical="center"/>
    </xf>
    <xf numFmtId="3" fontId="12" fillId="0" borderId="66" xfId="0" applyNumberFormat="1" applyFont="1" applyBorder="1" applyAlignment="1">
      <alignment horizontal="right" vertical="center"/>
    </xf>
    <xf numFmtId="0" fontId="12" fillId="0" borderId="68" xfId="0" applyFont="1" applyBorder="1" applyAlignment="1">
      <alignment horizontal="center" vertical="center"/>
    </xf>
    <xf numFmtId="0" fontId="10" fillId="0" borderId="27" xfId="0" applyFont="1" applyBorder="1" applyAlignment="1">
      <alignment vertical="center"/>
    </xf>
    <xf numFmtId="0" fontId="12" fillId="0" borderId="70" xfId="0" applyFont="1" applyBorder="1" applyAlignment="1">
      <alignment horizontal="left" vertical="center"/>
    </xf>
    <xf numFmtId="0" fontId="12" fillId="0" borderId="71" xfId="0" applyFont="1" applyBorder="1" applyAlignment="1">
      <alignment horizontal="left" vertical="center"/>
    </xf>
    <xf numFmtId="0" fontId="12" fillId="0" borderId="9" xfId="0" applyFont="1" applyBorder="1" applyAlignment="1">
      <alignment horizontal="left" vertical="center" wrapText="1"/>
    </xf>
    <xf numFmtId="0" fontId="12" fillId="0" borderId="9" xfId="0" applyFont="1" applyBorder="1" applyAlignment="1">
      <alignment horizontal="left" vertical="center"/>
    </xf>
    <xf numFmtId="0" fontId="10" fillId="0" borderId="6" xfId="0" applyFont="1" applyBorder="1"/>
    <xf numFmtId="3" fontId="12" fillId="0" borderId="59" xfId="0" applyNumberFormat="1" applyFont="1" applyBorder="1" applyAlignment="1">
      <alignment horizontal="right"/>
    </xf>
    <xf numFmtId="3" fontId="12" fillId="0" borderId="75" xfId="0" applyNumberFormat="1" applyFont="1" applyBorder="1" applyAlignment="1">
      <alignment horizontal="right" vertical="center"/>
    </xf>
    <xf numFmtId="3" fontId="10" fillId="0" borderId="59" xfId="0" applyNumberFormat="1" applyFont="1" applyBorder="1" applyAlignment="1">
      <alignment horizontal="right" vertical="center"/>
    </xf>
    <xf numFmtId="3" fontId="10" fillId="0" borderId="75" xfId="0" applyNumberFormat="1" applyFont="1" applyBorder="1" applyAlignment="1">
      <alignment horizontal="right" vertical="center"/>
    </xf>
    <xf numFmtId="3" fontId="12" fillId="0" borderId="76" xfId="0" applyNumberFormat="1" applyFont="1" applyBorder="1" applyAlignment="1">
      <alignment horizontal="right" vertical="center"/>
    </xf>
    <xf numFmtId="3" fontId="12" fillId="0" borderId="59" xfId="0" applyNumberFormat="1" applyFont="1" applyBorder="1" applyAlignment="1">
      <alignment horizontal="right" vertical="center"/>
    </xf>
    <xf numFmtId="3" fontId="12" fillId="0" borderId="77" xfId="0" applyNumberFormat="1" applyFont="1" applyBorder="1" applyAlignment="1">
      <alignment horizontal="right" vertical="center"/>
    </xf>
    <xf numFmtId="166" fontId="10" fillId="0" borderId="59" xfId="33" applyNumberFormat="1" applyFont="1" applyFill="1" applyBorder="1" applyAlignment="1">
      <alignment horizontal="right"/>
    </xf>
    <xf numFmtId="166" fontId="10" fillId="0" borderId="78" xfId="33" applyNumberFormat="1" applyFont="1" applyFill="1" applyBorder="1" applyAlignment="1">
      <alignment horizontal="right"/>
    </xf>
    <xf numFmtId="3" fontId="12" fillId="0" borderId="79" xfId="0" applyNumberFormat="1" applyFont="1" applyBorder="1" applyAlignment="1">
      <alignment horizontal="right" vertical="center"/>
    </xf>
    <xf numFmtId="3" fontId="10" fillId="0" borderId="66" xfId="0" applyNumberFormat="1" applyFont="1" applyBorder="1" applyAlignment="1">
      <alignment horizontal="right" vertical="center"/>
    </xf>
    <xf numFmtId="166" fontId="10" fillId="0" borderId="64" xfId="33" applyNumberFormat="1" applyFont="1" applyFill="1" applyBorder="1" applyAlignment="1">
      <alignment horizontal="right"/>
    </xf>
    <xf numFmtId="166" fontId="10" fillId="0" borderId="26" xfId="33" applyNumberFormat="1" applyFont="1" applyFill="1" applyBorder="1" applyAlignment="1">
      <alignment horizontal="right"/>
    </xf>
    <xf numFmtId="0" fontId="10" fillId="0" borderId="83" xfId="0" applyFont="1" applyBorder="1" applyAlignment="1">
      <alignment horizontal="center" vertical="center"/>
    </xf>
    <xf numFmtId="165" fontId="12" fillId="0" borderId="81" xfId="0" applyNumberFormat="1" applyFont="1" applyBorder="1" applyAlignment="1">
      <alignment vertical="center" wrapText="1"/>
    </xf>
    <xf numFmtId="4" fontId="12" fillId="0" borderId="81" xfId="0" applyNumberFormat="1" applyFont="1" applyBorder="1" applyAlignment="1">
      <alignment vertical="center"/>
    </xf>
    <xf numFmtId="4" fontId="18" fillId="0" borderId="84" xfId="0" applyNumberFormat="1" applyFont="1" applyBorder="1" applyAlignment="1">
      <alignment horizontal="center" vertical="center"/>
    </xf>
    <xf numFmtId="0" fontId="10" fillId="0" borderId="85" xfId="0" applyFont="1" applyBorder="1" applyAlignment="1">
      <alignment horizontal="center"/>
    </xf>
    <xf numFmtId="0" fontId="12" fillId="0" borderId="8" xfId="0" applyFont="1" applyBorder="1" applyAlignment="1">
      <alignment vertical="center"/>
    </xf>
    <xf numFmtId="0" fontId="10" fillId="0" borderId="9" xfId="0" applyFont="1" applyBorder="1" applyAlignment="1">
      <alignment horizontal="left" wrapText="1" indent="1"/>
    </xf>
    <xf numFmtId="49" fontId="14" fillId="0" borderId="18" xfId="0" applyNumberFormat="1" applyFont="1" applyBorder="1" applyAlignment="1">
      <alignment horizontal="center" wrapText="1"/>
    </xf>
    <xf numFmtId="0" fontId="10" fillId="0" borderId="15" xfId="31" applyFont="1" applyBorder="1" applyAlignment="1">
      <alignment horizontal="center"/>
    </xf>
    <xf numFmtId="3" fontId="10" fillId="0" borderId="0" xfId="15" applyNumberFormat="1" applyFont="1" applyAlignment="1">
      <alignment horizontal="right"/>
    </xf>
    <xf numFmtId="0" fontId="10" fillId="0" borderId="0" xfId="15" applyFont="1"/>
    <xf numFmtId="4" fontId="10" fillId="0" borderId="95" xfId="0" applyNumberFormat="1" applyFont="1" applyBorder="1" applyAlignment="1">
      <alignment vertical="center"/>
    </xf>
    <xf numFmtId="4" fontId="14" fillId="0" borderId="96" xfId="0" applyNumberFormat="1" applyFont="1" applyBorder="1" applyAlignment="1">
      <alignment horizontal="center" vertical="center"/>
    </xf>
    <xf numFmtId="3" fontId="17" fillId="0" borderId="0" xfId="31" applyNumberFormat="1" applyFont="1" applyAlignment="1">
      <alignment horizontal="right"/>
    </xf>
    <xf numFmtId="0" fontId="17" fillId="0" borderId="0" xfId="31" applyFont="1"/>
    <xf numFmtId="3" fontId="19" fillId="0" borderId="0" xfId="31" applyNumberFormat="1" applyFont="1" applyAlignment="1">
      <alignment horizontal="right"/>
    </xf>
    <xf numFmtId="0" fontId="17" fillId="0" borderId="0" xfId="31" applyFont="1" applyAlignment="1">
      <alignment horizontal="center"/>
    </xf>
    <xf numFmtId="3" fontId="10" fillId="0" borderId="0" xfId="15" applyNumberFormat="1" applyFont="1" applyAlignment="1">
      <alignment horizontal="center"/>
    </xf>
    <xf numFmtId="3" fontId="10" fillId="0" borderId="0" xfId="31" applyNumberFormat="1" applyFont="1" applyAlignment="1">
      <alignment horizontal="center" wrapText="1"/>
    </xf>
    <xf numFmtId="3" fontId="10" fillId="0" borderId="7" xfId="31" applyNumberFormat="1" applyFont="1" applyBorder="1" applyAlignment="1">
      <alignment horizontal="center" vertical="center" wrapText="1"/>
    </xf>
    <xf numFmtId="3" fontId="10" fillId="0" borderId="5" xfId="31" applyNumberFormat="1" applyFont="1" applyBorder="1" applyAlignment="1">
      <alignment horizontal="center" vertical="center" wrapText="1"/>
    </xf>
    <xf numFmtId="0" fontId="12" fillId="0" borderId="23" xfId="31" applyFont="1" applyBorder="1" applyAlignment="1">
      <alignment horizontal="center"/>
    </xf>
    <xf numFmtId="0" fontId="12" fillId="0" borderId="0" xfId="31" applyFont="1"/>
    <xf numFmtId="3" fontId="10" fillId="0" borderId="108" xfId="31" applyNumberFormat="1" applyFont="1" applyBorder="1" applyAlignment="1">
      <alignment horizontal="right"/>
    </xf>
    <xf numFmtId="3" fontId="10" fillId="0" borderId="109" xfId="31" applyNumberFormat="1" applyFont="1" applyBorder="1" applyAlignment="1">
      <alignment horizontal="right"/>
    </xf>
    <xf numFmtId="3" fontId="10" fillId="0" borderId="0" xfId="15" applyNumberFormat="1" applyFont="1" applyAlignment="1">
      <alignment horizontal="left"/>
    </xf>
    <xf numFmtId="3" fontId="32" fillId="0" borderId="0" xfId="15" applyNumberFormat="1" applyFont="1" applyAlignment="1">
      <alignment horizontal="left"/>
    </xf>
    <xf numFmtId="0" fontId="12" fillId="0" borderId="15" xfId="31" applyFont="1" applyBorder="1" applyAlignment="1">
      <alignment horizontal="center"/>
    </xf>
    <xf numFmtId="0" fontId="29" fillId="0" borderId="21" xfId="31" applyFont="1" applyBorder="1" applyAlignment="1">
      <alignment horizontal="left"/>
    </xf>
    <xf numFmtId="0" fontId="10" fillId="0" borderId="16" xfId="28" applyFont="1" applyBorder="1"/>
    <xf numFmtId="3" fontId="17" fillId="0" borderId="0" xfId="31" applyNumberFormat="1" applyFont="1" applyAlignment="1">
      <alignment horizontal="center" vertical="center"/>
    </xf>
    <xf numFmtId="3" fontId="12" fillId="0" borderId="0" xfId="31" applyNumberFormat="1" applyFont="1" applyAlignment="1">
      <alignment horizontal="right"/>
    </xf>
    <xf numFmtId="3" fontId="12" fillId="0" borderId="0" xfId="32" applyNumberFormat="1" applyFont="1" applyAlignment="1">
      <alignment horizontal="right"/>
    </xf>
    <xf numFmtId="0" fontId="17" fillId="0" borderId="0" xfId="0" applyFont="1" applyAlignment="1">
      <alignment horizontal="center"/>
    </xf>
    <xf numFmtId="0" fontId="17" fillId="0" borderId="0" xfId="0" applyFont="1"/>
    <xf numFmtId="0" fontId="14" fillId="0" borderId="6" xfId="0" applyFont="1" applyBorder="1" applyAlignment="1">
      <alignment horizontal="center"/>
    </xf>
    <xf numFmtId="3" fontId="14" fillId="0" borderId="6" xfId="0" applyNumberFormat="1" applyFont="1" applyBorder="1" applyAlignment="1">
      <alignment horizontal="center"/>
    </xf>
    <xf numFmtId="0" fontId="14" fillId="0" borderId="0" xfId="0" applyFont="1"/>
    <xf numFmtId="3" fontId="17" fillId="0" borderId="0" xfId="0" applyNumberFormat="1" applyFont="1" applyAlignment="1">
      <alignment horizontal="right"/>
    </xf>
    <xf numFmtId="3" fontId="14" fillId="0" borderId="0" xfId="26" applyNumberFormat="1" applyFont="1" applyAlignment="1">
      <alignment horizontal="center" vertical="center"/>
    </xf>
    <xf numFmtId="3" fontId="14" fillId="0" borderId="0" xfId="26" applyNumberFormat="1" applyFont="1" applyAlignment="1">
      <alignment horizontal="center"/>
    </xf>
    <xf numFmtId="3" fontId="18" fillId="0" borderId="0" xfId="26" applyNumberFormat="1" applyFont="1" applyAlignment="1">
      <alignment horizontal="center" vertical="center"/>
    </xf>
    <xf numFmtId="3" fontId="10" fillId="0" borderId="0" xfId="31" applyNumberFormat="1" applyFont="1" applyAlignment="1">
      <alignment horizontal="right"/>
    </xf>
    <xf numFmtId="0" fontId="10" fillId="0" borderId="0" xfId="31" applyFont="1" applyAlignment="1">
      <alignment horizontal="center"/>
    </xf>
    <xf numFmtId="3" fontId="28" fillId="0" borderId="33" xfId="27" applyNumberFormat="1" applyFont="1" applyBorder="1" applyAlignment="1">
      <alignment horizontal="left"/>
    </xf>
    <xf numFmtId="3" fontId="17" fillId="0" borderId="0" xfId="31" applyNumberFormat="1" applyFont="1" applyAlignment="1">
      <alignment horizontal="center" wrapText="1"/>
    </xf>
    <xf numFmtId="3" fontId="20" fillId="0" borderId="0" xfId="31" applyNumberFormat="1" applyFont="1" applyAlignment="1">
      <alignment horizontal="right"/>
    </xf>
    <xf numFmtId="0" fontId="14" fillId="0" borderId="0" xfId="31" applyFont="1" applyAlignment="1">
      <alignment horizontal="center"/>
    </xf>
    <xf numFmtId="0" fontId="14" fillId="0" borderId="0" xfId="32" applyFont="1" applyAlignment="1">
      <alignment horizontal="center" wrapText="1"/>
    </xf>
    <xf numFmtId="3" fontId="14" fillId="0" borderId="0" xfId="32" applyNumberFormat="1" applyFont="1" applyAlignment="1">
      <alignment horizontal="center"/>
    </xf>
    <xf numFmtId="0" fontId="10" fillId="0" borderId="94" xfId="28" applyFont="1" applyBorder="1" applyAlignment="1">
      <alignment vertical="top" wrapText="1"/>
    </xf>
    <xf numFmtId="3" fontId="10" fillId="0" borderId="104" xfId="29" applyNumberFormat="1" applyFont="1" applyBorder="1" applyAlignment="1">
      <alignment horizontal="left"/>
    </xf>
    <xf numFmtId="3" fontId="37" fillId="0" borderId="111" xfId="28" applyNumberFormat="1" applyFont="1" applyBorder="1" applyAlignment="1">
      <alignment horizontal="right" wrapText="1"/>
    </xf>
    <xf numFmtId="0" fontId="37" fillId="0" borderId="16" xfId="28" applyFont="1" applyBorder="1" applyAlignment="1">
      <alignment horizontal="left"/>
    </xf>
    <xf numFmtId="3" fontId="37" fillId="0" borderId="16" xfId="31" applyNumberFormat="1" applyFont="1" applyBorder="1" applyAlignment="1">
      <alignment horizontal="right"/>
    </xf>
    <xf numFmtId="3" fontId="37" fillId="0" borderId="16" xfId="28" applyNumberFormat="1" applyFont="1" applyBorder="1" applyAlignment="1">
      <alignment horizontal="right" wrapText="1"/>
    </xf>
    <xf numFmtId="0" fontId="37" fillId="0" borderId="94" xfId="28" applyFont="1" applyBorder="1"/>
    <xf numFmtId="3" fontId="10" fillId="0" borderId="19" xfId="31" applyNumberFormat="1" applyFont="1" applyBorder="1" applyAlignment="1">
      <alignment horizontal="center" vertical="center" wrapText="1"/>
    </xf>
    <xf numFmtId="0" fontId="10" fillId="0" borderId="50" xfId="31" applyFont="1" applyBorder="1" applyAlignment="1">
      <alignment horizontal="center" wrapText="1"/>
    </xf>
    <xf numFmtId="0" fontId="10" fillId="0" borderId="37" xfId="31" applyFont="1" applyBorder="1" applyAlignment="1">
      <alignment horizontal="center" wrapText="1"/>
    </xf>
    <xf numFmtId="0" fontId="17" fillId="0" borderId="0" xfId="0" applyFont="1" applyAlignment="1">
      <alignment horizontal="center" vertical="center"/>
    </xf>
    <xf numFmtId="0" fontId="20" fillId="0" borderId="0" xfId="0" applyFont="1" applyAlignment="1">
      <alignment horizontal="center" vertical="center"/>
    </xf>
    <xf numFmtId="0" fontId="17" fillId="0" borderId="0" xfId="0" applyFont="1" applyAlignment="1">
      <alignment vertical="center"/>
    </xf>
    <xf numFmtId="3" fontId="38" fillId="0" borderId="16" xfId="31" applyNumberFormat="1" applyFont="1" applyBorder="1" applyAlignment="1">
      <alignment horizontal="right"/>
    </xf>
    <xf numFmtId="3" fontId="38" fillId="0" borderId="99" xfId="28" applyNumberFormat="1" applyFont="1" applyBorder="1" applyAlignment="1">
      <alignment horizontal="right" wrapText="1"/>
    </xf>
    <xf numFmtId="3" fontId="38" fillId="0" borderId="89" xfId="28" applyNumberFormat="1" applyFont="1" applyBorder="1" applyAlignment="1">
      <alignment horizontal="right" wrapText="1"/>
    </xf>
    <xf numFmtId="3" fontId="37" fillId="0" borderId="112" xfId="28" applyNumberFormat="1" applyFont="1" applyBorder="1" applyAlignment="1">
      <alignment horizontal="right" wrapText="1"/>
    </xf>
    <xf numFmtId="3" fontId="37" fillId="0" borderId="111" xfId="31" applyNumberFormat="1" applyFont="1" applyBorder="1" applyAlignment="1">
      <alignment horizontal="right"/>
    </xf>
    <xf numFmtId="0" fontId="10" fillId="0" borderId="37" xfId="31" applyFont="1" applyBorder="1" applyAlignment="1">
      <alignment horizontal="center" vertical="top" wrapText="1"/>
    </xf>
    <xf numFmtId="3" fontId="12" fillId="0" borderId="28" xfId="0" applyNumberFormat="1" applyFont="1" applyBorder="1" applyAlignment="1">
      <alignment vertical="center"/>
    </xf>
    <xf numFmtId="3" fontId="10" fillId="0" borderId="129" xfId="31" applyNumberFormat="1" applyFont="1" applyBorder="1" applyAlignment="1">
      <alignment horizontal="right"/>
    </xf>
    <xf numFmtId="3" fontId="37" fillId="0" borderId="130" xfId="28" applyNumberFormat="1" applyFont="1" applyBorder="1" applyAlignment="1">
      <alignment horizontal="right" wrapText="1"/>
    </xf>
    <xf numFmtId="0" fontId="37" fillId="0" borderId="113" xfId="28" applyFont="1" applyBorder="1"/>
    <xf numFmtId="3" fontId="10" fillId="0" borderId="35" xfId="31" applyNumberFormat="1" applyFont="1" applyBorder="1" applyAlignment="1">
      <alignment horizontal="right"/>
    </xf>
    <xf numFmtId="3" fontId="10" fillId="0" borderId="120" xfId="31" applyNumberFormat="1" applyFont="1" applyBorder="1" applyAlignment="1">
      <alignment horizontal="right"/>
    </xf>
    <xf numFmtId="0" fontId="10" fillId="0" borderId="121" xfId="31" applyFont="1" applyBorder="1" applyAlignment="1">
      <alignment horizontal="center" wrapText="1"/>
    </xf>
    <xf numFmtId="3" fontId="33" fillId="0" borderId="21" xfId="27" applyNumberFormat="1" applyFont="1" applyBorder="1" applyAlignment="1">
      <alignment wrapText="1"/>
    </xf>
    <xf numFmtId="3" fontId="33" fillId="0" borderId="86" xfId="0" applyNumberFormat="1" applyFont="1" applyBorder="1"/>
    <xf numFmtId="3" fontId="17" fillId="0" borderId="0" xfId="31" applyNumberFormat="1" applyFont="1" applyAlignment="1" applyProtection="1">
      <alignment horizontal="center" vertical="center"/>
      <protection locked="0"/>
    </xf>
    <xf numFmtId="0" fontId="17" fillId="0" borderId="23" xfId="32" applyFont="1" applyBorder="1" applyAlignment="1" applyProtection="1">
      <alignment horizontal="center"/>
      <protection locked="0"/>
    </xf>
    <xf numFmtId="3" fontId="28" fillId="0" borderId="21" xfId="30" applyNumberFormat="1" applyFont="1" applyBorder="1" applyAlignment="1" applyProtection="1">
      <alignment horizontal="left"/>
      <protection locked="0"/>
    </xf>
    <xf numFmtId="0" fontId="28" fillId="0" borderId="21" xfId="31" applyFont="1" applyBorder="1" applyAlignment="1" applyProtection="1">
      <alignment horizontal="left" wrapText="1"/>
      <protection locked="0"/>
    </xf>
    <xf numFmtId="0" fontId="17" fillId="0" borderId="21" xfId="32" applyFont="1" applyBorder="1" applyAlignment="1" applyProtection="1">
      <alignment horizontal="center"/>
      <protection locked="0"/>
    </xf>
    <xf numFmtId="3" fontId="17" fillId="0" borderId="21" xfId="32" applyNumberFormat="1" applyFont="1" applyBorder="1" applyProtection="1">
      <protection locked="0"/>
    </xf>
    <xf numFmtId="3" fontId="17" fillId="0" borderId="21" xfId="31" applyNumberFormat="1" applyFont="1" applyBorder="1" applyProtection="1">
      <protection locked="0"/>
    </xf>
    <xf numFmtId="3" fontId="17" fillId="0" borderId="22" xfId="31" applyNumberFormat="1" applyFont="1" applyBorder="1" applyAlignment="1" applyProtection="1">
      <alignment horizontal="right"/>
      <protection locked="0"/>
    </xf>
    <xf numFmtId="0" fontId="17" fillId="0" borderId="0" xfId="31" applyFont="1" applyAlignment="1" applyProtection="1">
      <alignment horizontal="left"/>
      <protection locked="0"/>
    </xf>
    <xf numFmtId="0" fontId="17" fillId="0" borderId="0" xfId="31" applyFont="1" applyAlignment="1" applyProtection="1">
      <alignment horizontal="center" vertical="center"/>
      <protection locked="0"/>
    </xf>
    <xf numFmtId="3" fontId="17" fillId="0" borderId="16" xfId="30" applyNumberFormat="1" applyFont="1" applyBorder="1" applyAlignment="1" applyProtection="1">
      <alignment horizontal="center" vertical="top"/>
      <protection locked="0"/>
    </xf>
    <xf numFmtId="0" fontId="17" fillId="0" borderId="16" xfId="31" applyFont="1" applyBorder="1" applyAlignment="1" applyProtection="1">
      <alignment horizontal="left" wrapText="1"/>
      <protection locked="0"/>
    </xf>
    <xf numFmtId="3" fontId="17" fillId="0" borderId="21" xfId="32" applyNumberFormat="1" applyFont="1" applyBorder="1" applyAlignment="1" applyProtection="1">
      <alignment vertical="center"/>
      <protection locked="0"/>
    </xf>
    <xf numFmtId="3" fontId="17" fillId="0" borderId="21" xfId="31" applyNumberFormat="1" applyFont="1" applyBorder="1" applyAlignment="1" applyProtection="1">
      <alignment vertical="center"/>
      <protection locked="0"/>
    </xf>
    <xf numFmtId="3" fontId="17" fillId="0" borderId="22" xfId="31" applyNumberFormat="1" applyFont="1" applyBorder="1" applyAlignment="1" applyProtection="1">
      <alignment horizontal="right" vertical="center"/>
      <protection locked="0"/>
    </xf>
    <xf numFmtId="0" fontId="17" fillId="0" borderId="0" xfId="31" applyFont="1" applyProtection="1">
      <protection locked="0"/>
    </xf>
    <xf numFmtId="3" fontId="17" fillId="0" borderId="16" xfId="30" applyNumberFormat="1" applyFont="1" applyBorder="1" applyAlignment="1" applyProtection="1">
      <alignment horizontal="center"/>
      <protection locked="0"/>
    </xf>
    <xf numFmtId="0" fontId="23" fillId="0" borderId="16" xfId="31" applyFont="1" applyBorder="1" applyProtection="1">
      <protection locked="0"/>
    </xf>
    <xf numFmtId="0" fontId="23" fillId="0" borderId="21" xfId="32" applyFont="1" applyBorder="1" applyAlignment="1" applyProtection="1">
      <alignment horizontal="left"/>
      <protection locked="0"/>
    </xf>
    <xf numFmtId="3" fontId="28" fillId="0" borderId="16" xfId="30" applyNumberFormat="1" applyFont="1" applyBorder="1" applyAlignment="1" applyProtection="1">
      <alignment horizontal="left"/>
      <protection locked="0"/>
    </xf>
    <xf numFmtId="0" fontId="23" fillId="0" borderId="16" xfId="31" applyFont="1" applyBorder="1" applyAlignment="1" applyProtection="1">
      <alignment horizontal="left"/>
      <protection locked="0"/>
    </xf>
    <xf numFmtId="3" fontId="20" fillId="0" borderId="21" xfId="32" applyNumberFormat="1" applyFont="1" applyBorder="1" applyProtection="1">
      <protection locked="0"/>
    </xf>
    <xf numFmtId="3" fontId="17" fillId="0" borderId="22" xfId="31" applyNumberFormat="1" applyFont="1" applyBorder="1" applyAlignment="1" applyProtection="1">
      <alignment horizontal="left"/>
      <protection locked="0"/>
    </xf>
    <xf numFmtId="0" fontId="20" fillId="0" borderId="16" xfId="31" applyFont="1" applyBorder="1" applyAlignment="1" applyProtection="1">
      <alignment wrapText="1"/>
      <protection locked="0"/>
    </xf>
    <xf numFmtId="0" fontId="30" fillId="0" borderId="16" xfId="31" applyFont="1" applyBorder="1" applyAlignment="1" applyProtection="1">
      <alignment horizontal="left"/>
      <protection locked="0"/>
    </xf>
    <xf numFmtId="3" fontId="17" fillId="0" borderId="21" xfId="31" applyNumberFormat="1" applyFont="1" applyBorder="1" applyAlignment="1" applyProtection="1">
      <alignment horizontal="right"/>
      <protection locked="0"/>
    </xf>
    <xf numFmtId="3" fontId="28" fillId="0" borderId="21" xfId="0" applyNumberFormat="1" applyFont="1" applyBorder="1" applyAlignment="1" applyProtection="1">
      <alignment horizontal="left"/>
      <protection locked="0"/>
    </xf>
    <xf numFmtId="3" fontId="28" fillId="0" borderId="22" xfId="0" applyNumberFormat="1" applyFont="1" applyBorder="1" applyAlignment="1" applyProtection="1">
      <alignment horizontal="left"/>
      <protection locked="0"/>
    </xf>
    <xf numFmtId="3" fontId="17" fillId="0" borderId="21" xfId="30" applyNumberFormat="1" applyFont="1" applyBorder="1" applyAlignment="1" applyProtection="1">
      <alignment horizontal="center"/>
      <protection locked="0"/>
    </xf>
    <xf numFmtId="0" fontId="10" fillId="0" borderId="16" xfId="28" applyFont="1" applyBorder="1" applyAlignment="1">
      <alignment vertical="center" wrapText="1"/>
    </xf>
    <xf numFmtId="0" fontId="12" fillId="0" borderId="51" xfId="31" applyFont="1" applyBorder="1" applyAlignment="1">
      <alignment horizontal="center"/>
    </xf>
    <xf numFmtId="3" fontId="12" fillId="0" borderId="16" xfId="31" applyNumberFormat="1" applyFont="1" applyBorder="1" applyAlignment="1">
      <alignment horizontal="right"/>
    </xf>
    <xf numFmtId="3" fontId="37" fillId="0" borderId="86" xfId="31" applyNumberFormat="1" applyFont="1" applyBorder="1" applyAlignment="1">
      <alignment horizontal="right"/>
    </xf>
    <xf numFmtId="3" fontId="42" fillId="0" borderId="21" xfId="27" applyNumberFormat="1" applyFont="1" applyBorder="1" applyAlignment="1">
      <alignment horizontal="left" vertical="top" wrapText="1" indent="4"/>
    </xf>
    <xf numFmtId="0" fontId="10" fillId="0" borderId="94" xfId="28" applyFont="1" applyBorder="1" applyAlignment="1">
      <alignment wrapText="1"/>
    </xf>
    <xf numFmtId="3" fontId="20" fillId="0" borderId="54" xfId="30" applyNumberFormat="1" applyFont="1" applyBorder="1"/>
    <xf numFmtId="3" fontId="14" fillId="0" borderId="0" xfId="0" applyNumberFormat="1" applyFont="1" applyAlignment="1">
      <alignment horizontal="center" vertical="center"/>
    </xf>
    <xf numFmtId="3" fontId="13" fillId="0" borderId="0" xfId="0" applyNumberFormat="1" applyFont="1" applyAlignment="1">
      <alignment vertical="center"/>
    </xf>
    <xf numFmtId="0" fontId="27" fillId="0" borderId="0" xfId="0" applyFont="1"/>
    <xf numFmtId="3" fontId="17" fillId="0" borderId="0" xfId="0" applyNumberFormat="1" applyFont="1" applyAlignment="1">
      <alignment horizontal="center" vertical="center"/>
    </xf>
    <xf numFmtId="3" fontId="17" fillId="0" borderId="0" xfId="0" applyNumberFormat="1" applyFont="1" applyAlignment="1">
      <alignment vertical="center"/>
    </xf>
    <xf numFmtId="3" fontId="19" fillId="0" borderId="0" xfId="0" applyNumberFormat="1" applyFont="1" applyAlignment="1">
      <alignment vertical="center"/>
    </xf>
    <xf numFmtId="3" fontId="22" fillId="0" borderId="7" xfId="0" applyNumberFormat="1" applyFont="1" applyBorder="1" applyAlignment="1">
      <alignment horizontal="center" vertical="center" wrapText="1"/>
    </xf>
    <xf numFmtId="3" fontId="17" fillId="0" borderId="23" xfId="0" applyNumberFormat="1" applyFont="1" applyBorder="1" applyAlignment="1">
      <alignment horizontal="center"/>
    </xf>
    <xf numFmtId="3" fontId="17" fillId="0" borderId="21" xfId="0" applyNumberFormat="1" applyFont="1" applyBorder="1" applyAlignment="1">
      <alignment horizontal="center"/>
    </xf>
    <xf numFmtId="3" fontId="20" fillId="0" borderId="104" xfId="30" applyNumberFormat="1" applyFont="1" applyBorder="1" applyAlignment="1">
      <alignment horizontal="left"/>
    </xf>
    <xf numFmtId="3" fontId="20" fillId="0" borderId="54" xfId="30" applyNumberFormat="1" applyFont="1" applyBorder="1" applyAlignment="1">
      <alignment horizontal="left"/>
    </xf>
    <xf numFmtId="3" fontId="17" fillId="0" borderId="21" xfId="0" applyNumberFormat="1" applyFont="1" applyBorder="1"/>
    <xf numFmtId="3" fontId="17" fillId="0" borderId="128" xfId="0" applyNumberFormat="1" applyFont="1" applyBorder="1"/>
    <xf numFmtId="3" fontId="17" fillId="0" borderId="54" xfId="0" applyNumberFormat="1" applyFont="1" applyBorder="1"/>
    <xf numFmtId="3" fontId="17" fillId="0" borderId="15" xfId="0" applyNumberFormat="1" applyFont="1" applyBorder="1" applyAlignment="1">
      <alignment horizontal="center"/>
    </xf>
    <xf numFmtId="3" fontId="17" fillId="0" borderId="16" xfId="0" applyNumberFormat="1" applyFont="1" applyBorder="1" applyAlignment="1">
      <alignment horizontal="center"/>
    </xf>
    <xf numFmtId="3" fontId="17" fillId="0" borderId="94" xfId="30" applyNumberFormat="1" applyFont="1" applyBorder="1" applyAlignment="1">
      <alignment horizontal="left"/>
    </xf>
    <xf numFmtId="3" fontId="17" fillId="0" borderId="16" xfId="0" applyNumberFormat="1" applyFont="1" applyBorder="1"/>
    <xf numFmtId="3" fontId="17" fillId="0" borderId="111" xfId="0" applyNumberFormat="1" applyFont="1" applyBorder="1"/>
    <xf numFmtId="3" fontId="17" fillId="0" borderId="86" xfId="0" applyNumberFormat="1" applyFont="1" applyBorder="1"/>
    <xf numFmtId="3" fontId="19" fillId="0" borderId="16" xfId="0" applyNumberFormat="1" applyFont="1" applyBorder="1"/>
    <xf numFmtId="3" fontId="33" fillId="0" borderId="15" xfId="0" applyNumberFormat="1" applyFont="1" applyBorder="1" applyAlignment="1">
      <alignment horizontal="center" vertical="center"/>
    </xf>
    <xf numFmtId="3" fontId="33" fillId="0" borderId="16" xfId="0" applyNumberFormat="1" applyFont="1" applyBorder="1" applyAlignment="1">
      <alignment horizontal="center"/>
    </xf>
    <xf numFmtId="3" fontId="33" fillId="0" borderId="94" xfId="0" applyNumberFormat="1" applyFont="1" applyBorder="1" applyAlignment="1">
      <alignment horizontal="center"/>
    </xf>
    <xf numFmtId="3" fontId="33" fillId="0" borderId="86" xfId="30" applyNumberFormat="1" applyFont="1" applyBorder="1"/>
    <xf numFmtId="3" fontId="33" fillId="0" borderId="16" xfId="0" applyNumberFormat="1" applyFont="1" applyBorder="1"/>
    <xf numFmtId="3" fontId="33" fillId="0" borderId="111" xfId="0" applyNumberFormat="1" applyFont="1" applyBorder="1"/>
    <xf numFmtId="3" fontId="33" fillId="0" borderId="0" xfId="0" applyNumberFormat="1" applyFont="1" applyAlignment="1">
      <alignment vertical="center"/>
    </xf>
    <xf numFmtId="0" fontId="35" fillId="0" borderId="0" xfId="0" applyFont="1"/>
    <xf numFmtId="3" fontId="20" fillId="0" borderId="86" xfId="30" applyNumberFormat="1" applyFont="1" applyBorder="1" applyAlignment="1">
      <alignment horizontal="left"/>
    </xf>
    <xf numFmtId="3" fontId="19" fillId="0" borderId="0" xfId="0" applyNumberFormat="1" applyFont="1" applyAlignment="1">
      <alignment vertical="top"/>
    </xf>
    <xf numFmtId="3" fontId="33" fillId="0" borderId="0" xfId="0" applyNumberFormat="1" applyFont="1" applyAlignment="1">
      <alignment vertical="top"/>
    </xf>
    <xf numFmtId="3" fontId="20" fillId="0" borderId="0" xfId="0" applyNumberFormat="1" applyFont="1" applyAlignment="1">
      <alignment vertical="top"/>
    </xf>
    <xf numFmtId="3" fontId="17" fillId="0" borderId="15" xfId="0" applyNumberFormat="1" applyFont="1" applyBorder="1" applyAlignment="1">
      <alignment horizontal="center" vertical="center"/>
    </xf>
    <xf numFmtId="3" fontId="17" fillId="0" borderId="86" xfId="30" applyNumberFormat="1" applyFont="1" applyBorder="1"/>
    <xf numFmtId="0" fontId="0" fillId="0" borderId="16" xfId="0" applyBorder="1"/>
    <xf numFmtId="0" fontId="0" fillId="0" borderId="111" xfId="0" applyBorder="1"/>
    <xf numFmtId="0" fontId="0" fillId="0" borderId="86" xfId="0" applyBorder="1"/>
    <xf numFmtId="3" fontId="20" fillId="0" borderId="86" xfId="30" applyNumberFormat="1" applyFont="1" applyBorder="1"/>
    <xf numFmtId="3" fontId="33" fillId="0" borderId="0" xfId="0" applyNumberFormat="1" applyFont="1"/>
    <xf numFmtId="3" fontId="17" fillId="0" borderId="0" xfId="0" applyNumberFormat="1" applyFont="1" applyAlignment="1">
      <alignment vertical="top"/>
    </xf>
    <xf numFmtId="3" fontId="34" fillId="0" borderId="0" xfId="0" applyNumberFormat="1" applyFont="1" applyAlignment="1">
      <alignment vertical="top"/>
    </xf>
    <xf numFmtId="3" fontId="20" fillId="0" borderId="14" xfId="0" applyNumberFormat="1" applyFont="1" applyBorder="1"/>
    <xf numFmtId="3" fontId="20" fillId="0" borderId="122" xfId="0" applyNumberFormat="1" applyFont="1" applyBorder="1"/>
    <xf numFmtId="3" fontId="20" fillId="0" borderId="87" xfId="0" applyNumberFormat="1" applyFont="1" applyBorder="1"/>
    <xf numFmtId="3" fontId="33" fillId="0" borderId="15" xfId="0" applyNumberFormat="1" applyFont="1" applyBorder="1" applyAlignment="1">
      <alignment horizontal="center" vertical="top"/>
    </xf>
    <xf numFmtId="3" fontId="33" fillId="0" borderId="82" xfId="0" applyNumberFormat="1" applyFont="1" applyBorder="1" applyAlignment="1">
      <alignment horizontal="center"/>
    </xf>
    <xf numFmtId="3" fontId="33" fillId="0" borderId="115" xfId="0" applyNumberFormat="1" applyFont="1" applyBorder="1" applyAlignment="1">
      <alignment horizontal="center"/>
    </xf>
    <xf numFmtId="3" fontId="33" fillId="0" borderId="82" xfId="0" applyNumberFormat="1" applyFont="1" applyBorder="1"/>
    <xf numFmtId="3" fontId="33" fillId="0" borderId="184" xfId="0" applyNumberFormat="1" applyFont="1" applyBorder="1"/>
    <xf numFmtId="3" fontId="17" fillId="0" borderId="23" xfId="0" applyNumberFormat="1" applyFont="1" applyBorder="1" applyAlignment="1">
      <alignment horizontal="center" vertical="top"/>
    </xf>
    <xf numFmtId="3" fontId="33" fillId="0" borderId="35" xfId="0" applyNumberFormat="1" applyFont="1" applyBorder="1" applyAlignment="1">
      <alignment horizontal="center"/>
    </xf>
    <xf numFmtId="3" fontId="33" fillId="0" borderId="113" xfId="0" applyNumberFormat="1" applyFont="1" applyBorder="1" applyAlignment="1">
      <alignment horizontal="center"/>
    </xf>
    <xf numFmtId="3" fontId="33" fillId="0" borderId="98" xfId="30" applyNumberFormat="1" applyFont="1" applyBorder="1"/>
    <xf numFmtId="3" fontId="33" fillId="0" borderId="35" xfId="0" applyNumberFormat="1" applyFont="1" applyBorder="1"/>
    <xf numFmtId="3" fontId="33" fillId="0" borderId="130" xfId="0" applyNumberFormat="1" applyFont="1" applyBorder="1"/>
    <xf numFmtId="3" fontId="33" fillId="0" borderId="98" xfId="0" applyNumberFormat="1" applyFont="1" applyBorder="1"/>
    <xf numFmtId="3" fontId="17" fillId="0" borderId="16" xfId="0" applyNumberFormat="1" applyFont="1" applyBorder="1" applyAlignment="1">
      <alignment horizontal="center" vertical="top"/>
    </xf>
    <xf numFmtId="3" fontId="20" fillId="0" borderId="0" xfId="0" applyNumberFormat="1" applyFont="1" applyAlignment="1">
      <alignment vertical="center"/>
    </xf>
    <xf numFmtId="3" fontId="20" fillId="0" borderId="54" xfId="30" applyNumberFormat="1" applyFont="1" applyBorder="1" applyAlignment="1">
      <alignment wrapText="1"/>
    </xf>
    <xf numFmtId="3" fontId="20" fillId="0" borderId="86" xfId="30" applyNumberFormat="1" applyFont="1" applyBorder="1" applyAlignment="1">
      <alignment wrapText="1"/>
    </xf>
    <xf numFmtId="3" fontId="17" fillId="0" borderId="15" xfId="0" applyNumberFormat="1" applyFont="1" applyBorder="1" applyAlignment="1">
      <alignment horizontal="center" vertical="top"/>
    </xf>
    <xf numFmtId="0" fontId="26" fillId="0" borderId="0" xfId="0" applyFont="1"/>
    <xf numFmtId="3" fontId="34" fillId="0" borderId="0" xfId="0" applyNumberFormat="1" applyFont="1" applyAlignment="1">
      <alignment vertical="center"/>
    </xf>
    <xf numFmtId="0" fontId="36" fillId="0" borderId="0" xfId="0" applyFont="1"/>
    <xf numFmtId="3" fontId="20" fillId="0" borderId="33" xfId="0" applyNumberFormat="1" applyFont="1" applyBorder="1"/>
    <xf numFmtId="3" fontId="20" fillId="0" borderId="110" xfId="0" applyNumberFormat="1" applyFont="1" applyBorder="1"/>
    <xf numFmtId="3" fontId="17" fillId="0" borderId="97" xfId="0" applyNumberFormat="1" applyFont="1" applyBorder="1"/>
    <xf numFmtId="3" fontId="17" fillId="0" borderId="33" xfId="0" applyNumberFormat="1" applyFont="1" applyBorder="1"/>
    <xf numFmtId="3" fontId="17" fillId="0" borderId="32" xfId="0" applyNumberFormat="1" applyFont="1" applyBorder="1" applyAlignment="1">
      <alignment horizontal="center" vertical="top"/>
    </xf>
    <xf numFmtId="3" fontId="17" fillId="0" borderId="33" xfId="0" applyNumberFormat="1" applyFont="1" applyBorder="1" applyAlignment="1">
      <alignment horizontal="center"/>
    </xf>
    <xf numFmtId="3" fontId="17" fillId="0" borderId="33" xfId="30" applyNumberFormat="1" applyFont="1" applyBorder="1" applyAlignment="1">
      <alignment wrapText="1"/>
    </xf>
    <xf numFmtId="3" fontId="17" fillId="0" borderId="110" xfId="30" applyNumberFormat="1" applyFont="1" applyBorder="1" applyAlignment="1">
      <alignment wrapText="1"/>
    </xf>
    <xf numFmtId="3" fontId="33" fillId="0" borderId="51" xfId="0" applyNumberFormat="1" applyFont="1" applyBorder="1" applyAlignment="1">
      <alignment horizontal="center" vertical="center"/>
    </xf>
    <xf numFmtId="3" fontId="33" fillId="0" borderId="35" xfId="30" applyNumberFormat="1" applyFont="1" applyBorder="1"/>
    <xf numFmtId="3" fontId="20" fillId="0" borderId="97" xfId="0" applyNumberFormat="1" applyFont="1" applyBorder="1"/>
    <xf numFmtId="0" fontId="21" fillId="0" borderId="0" xfId="0" applyFont="1" applyAlignment="1">
      <alignment horizontal="center" vertical="center"/>
    </xf>
    <xf numFmtId="3" fontId="10" fillId="0" borderId="0" xfId="0" applyNumberFormat="1" applyFont="1" applyAlignment="1">
      <alignment horizontal="right" vertical="center"/>
    </xf>
    <xf numFmtId="3" fontId="12" fillId="0" borderId="0" xfId="0" applyNumberFormat="1" applyFont="1" applyAlignment="1">
      <alignment horizontal="right" vertical="center"/>
    </xf>
    <xf numFmtId="3" fontId="17" fillId="0" borderId="0" xfId="0" applyNumberFormat="1" applyFont="1" applyAlignment="1">
      <alignment horizontal="center" vertical="top"/>
    </xf>
    <xf numFmtId="3" fontId="20" fillId="0" borderId="0" xfId="0" applyNumberFormat="1" applyFont="1" applyAlignment="1">
      <alignment horizontal="right"/>
    </xf>
    <xf numFmtId="3" fontId="17" fillId="0" borderId="7" xfId="26" applyNumberFormat="1" applyFont="1" applyBorder="1" applyAlignment="1">
      <alignment horizontal="center" vertical="center" wrapText="1"/>
    </xf>
    <xf numFmtId="3" fontId="17" fillId="0" borderId="54" xfId="0" applyNumberFormat="1" applyFont="1" applyBorder="1" applyAlignment="1">
      <alignment horizontal="center"/>
    </xf>
    <xf numFmtId="3" fontId="20" fillId="0" borderId="21" xfId="30" applyNumberFormat="1" applyFont="1" applyBorder="1"/>
    <xf numFmtId="3" fontId="17" fillId="0" borderId="21" xfId="30" applyNumberFormat="1" applyFont="1" applyBorder="1" applyAlignment="1">
      <alignment horizontal="center"/>
    </xf>
    <xf numFmtId="3" fontId="20" fillId="0" borderId="50" xfId="0" applyNumberFormat="1" applyFont="1" applyBorder="1"/>
    <xf numFmtId="3" fontId="17" fillId="0" borderId="24" xfId="0" applyNumberFormat="1" applyFont="1" applyBorder="1"/>
    <xf numFmtId="3" fontId="17" fillId="0" borderId="86" xfId="0" applyNumberFormat="1" applyFont="1" applyBorder="1" applyAlignment="1">
      <alignment horizontal="center"/>
    </xf>
    <xf numFmtId="3" fontId="17" fillId="0" borderId="16" xfId="30" applyNumberFormat="1" applyFont="1" applyBorder="1"/>
    <xf numFmtId="3" fontId="20" fillId="0" borderId="37" xfId="0" applyNumberFormat="1" applyFont="1" applyBorder="1"/>
    <xf numFmtId="3" fontId="17" fillId="0" borderId="17" xfId="0" applyNumberFormat="1" applyFont="1" applyBorder="1"/>
    <xf numFmtId="3" fontId="33" fillId="0" borderId="86" xfId="0" applyNumberFormat="1" applyFont="1" applyBorder="1" applyAlignment="1">
      <alignment horizontal="center" vertical="center"/>
    </xf>
    <xf numFmtId="3" fontId="33" fillId="0" borderId="16" xfId="30" applyNumberFormat="1" applyFont="1" applyBorder="1"/>
    <xf numFmtId="3" fontId="33" fillId="0" borderId="16" xfId="0" applyNumberFormat="1" applyFont="1" applyBorder="1" applyAlignment="1">
      <alignment vertical="center"/>
    </xf>
    <xf numFmtId="3" fontId="33" fillId="0" borderId="37" xfId="0" applyNumberFormat="1" applyFont="1" applyBorder="1"/>
    <xf numFmtId="3" fontId="33" fillId="0" borderId="16" xfId="0" applyNumberFormat="1" applyFont="1" applyBorder="1" applyAlignment="1">
      <alignment horizontal="right"/>
    </xf>
    <xf numFmtId="3" fontId="33" fillId="0" borderId="17" xfId="0" applyNumberFormat="1" applyFont="1" applyBorder="1" applyAlignment="1">
      <alignment horizontal="right"/>
    </xf>
    <xf numFmtId="3" fontId="33" fillId="0" borderId="0" xfId="0" applyNumberFormat="1" applyFont="1" applyAlignment="1">
      <alignment horizontal="right" vertical="center"/>
    </xf>
    <xf numFmtId="3" fontId="20" fillId="0" borderId="16" xfId="30" applyNumberFormat="1" applyFont="1" applyBorder="1"/>
    <xf numFmtId="3" fontId="17" fillId="0" borderId="16" xfId="30" applyNumberFormat="1" applyFont="1" applyBorder="1" applyAlignment="1">
      <alignment horizontal="center"/>
    </xf>
    <xf numFmtId="3" fontId="20" fillId="0" borderId="0" xfId="0" applyNumberFormat="1" applyFont="1" applyAlignment="1">
      <alignment horizontal="right" vertical="center"/>
    </xf>
    <xf numFmtId="3" fontId="33" fillId="0" borderId="0" xfId="0" applyNumberFormat="1" applyFont="1" applyAlignment="1">
      <alignment horizontal="right"/>
    </xf>
    <xf numFmtId="3" fontId="17" fillId="0" borderId="0" xfId="0" applyNumberFormat="1" applyFont="1" applyAlignment="1">
      <alignment horizontal="right" vertical="center"/>
    </xf>
    <xf numFmtId="3" fontId="17" fillId="0" borderId="16" xfId="0" applyNumberFormat="1" applyFont="1" applyBorder="1" applyAlignment="1">
      <alignment horizontal="right"/>
    </xf>
    <xf numFmtId="3" fontId="17" fillId="0" borderId="17" xfId="0" applyNumberFormat="1" applyFont="1" applyBorder="1" applyAlignment="1">
      <alignment horizontal="right"/>
    </xf>
    <xf numFmtId="3" fontId="23" fillId="0" borderId="15" xfId="0" applyNumberFormat="1" applyFont="1" applyBorder="1" applyAlignment="1">
      <alignment horizontal="center" vertical="center"/>
    </xf>
    <xf numFmtId="3" fontId="23" fillId="0" borderId="14" xfId="0" applyNumberFormat="1" applyFont="1" applyBorder="1" applyAlignment="1">
      <alignment vertical="center"/>
    </xf>
    <xf numFmtId="3" fontId="23" fillId="0" borderId="90" xfId="0" applyNumberFormat="1" applyFont="1" applyBorder="1" applyAlignment="1">
      <alignment vertical="center"/>
    </xf>
    <xf numFmtId="3" fontId="23" fillId="0" borderId="92" xfId="0" applyNumberFormat="1" applyFont="1" applyBorder="1" applyAlignment="1">
      <alignment vertical="center"/>
    </xf>
    <xf numFmtId="3" fontId="23" fillId="0" borderId="0" xfId="0" applyNumberFormat="1" applyFont="1" applyAlignment="1">
      <alignment horizontal="right" vertical="center"/>
    </xf>
    <xf numFmtId="3" fontId="23" fillId="0" borderId="0" xfId="0" applyNumberFormat="1" applyFont="1" applyAlignment="1">
      <alignment vertical="center"/>
    </xf>
    <xf numFmtId="3" fontId="33" fillId="0" borderId="82" xfId="0" applyNumberFormat="1" applyFont="1" applyBorder="1" applyAlignment="1">
      <alignment horizontal="center" vertical="center"/>
    </xf>
    <xf numFmtId="3" fontId="20" fillId="0" borderId="21" xfId="30" applyNumberFormat="1" applyFont="1" applyBorder="1" applyAlignment="1">
      <alignment wrapText="1"/>
    </xf>
    <xf numFmtId="3" fontId="23" fillId="0" borderId="50" xfId="0" applyNumberFormat="1" applyFont="1" applyBorder="1"/>
    <xf numFmtId="3" fontId="23" fillId="0" borderId="37" xfId="0" applyNumberFormat="1" applyFont="1" applyBorder="1"/>
    <xf numFmtId="3" fontId="20" fillId="0" borderId="15" xfId="0" applyNumberFormat="1" applyFont="1" applyBorder="1" applyAlignment="1">
      <alignment horizontal="center" vertical="center"/>
    </xf>
    <xf numFmtId="3" fontId="20" fillId="0" borderId="86" xfId="0" applyNumberFormat="1" applyFont="1" applyBorder="1" applyAlignment="1">
      <alignment horizontal="center" vertical="center"/>
    </xf>
    <xf numFmtId="3" fontId="20" fillId="0" borderId="16" xfId="0" applyNumberFormat="1" applyFont="1" applyBorder="1" applyAlignment="1">
      <alignment vertical="center"/>
    </xf>
    <xf numFmtId="3" fontId="20" fillId="0" borderId="98" xfId="0" applyNumberFormat="1" applyFont="1" applyBorder="1" applyAlignment="1">
      <alignment horizontal="center" vertical="center"/>
    </xf>
    <xf numFmtId="3" fontId="20" fillId="0" borderId="35" xfId="0" applyNumberFormat="1" applyFont="1" applyBorder="1" applyAlignment="1">
      <alignment vertical="center"/>
    </xf>
    <xf numFmtId="3" fontId="33" fillId="0" borderId="121" xfId="0" applyNumberFormat="1" applyFont="1" applyBorder="1"/>
    <xf numFmtId="3" fontId="33" fillId="0" borderId="35" xfId="0" applyNumberFormat="1" applyFont="1" applyBorder="1" applyAlignment="1">
      <alignment horizontal="right"/>
    </xf>
    <xf numFmtId="3" fontId="33" fillId="0" borderId="36" xfId="0" applyNumberFormat="1" applyFont="1" applyBorder="1" applyAlignment="1">
      <alignment horizontal="right"/>
    </xf>
    <xf numFmtId="3" fontId="17" fillId="0" borderId="86" xfId="0" applyNumberFormat="1" applyFont="1" applyBorder="1" applyAlignment="1">
      <alignment horizontal="center" vertical="top"/>
    </xf>
    <xf numFmtId="3" fontId="17" fillId="0" borderId="16" xfId="30" applyNumberFormat="1" applyFont="1" applyBorder="1" applyAlignment="1">
      <alignment horizontal="left"/>
    </xf>
    <xf numFmtId="3" fontId="17" fillId="0" borderId="16" xfId="30" applyNumberFormat="1" applyFont="1" applyBorder="1" applyAlignment="1">
      <alignment horizontal="center" vertical="top" wrapText="1"/>
    </xf>
    <xf numFmtId="3" fontId="19" fillId="0" borderId="16" xfId="0" applyNumberFormat="1" applyFont="1" applyBorder="1" applyAlignment="1">
      <alignment horizontal="right"/>
    </xf>
    <xf numFmtId="3" fontId="19" fillId="0" borderId="17" xfId="0" applyNumberFormat="1" applyFont="1" applyBorder="1" applyAlignment="1">
      <alignment horizontal="right"/>
    </xf>
    <xf numFmtId="3" fontId="17" fillId="0" borderId="104" xfId="0" applyNumberFormat="1" applyFont="1" applyBorder="1" applyAlignment="1">
      <alignment horizontal="center" vertical="top"/>
    </xf>
    <xf numFmtId="3" fontId="17" fillId="0" borderId="21" xfId="30" applyNumberFormat="1" applyFont="1" applyBorder="1" applyAlignment="1">
      <alignment horizontal="center" vertical="top" wrapText="1"/>
    </xf>
    <xf numFmtId="3" fontId="23" fillId="0" borderId="14" xfId="0" applyNumberFormat="1" applyFont="1" applyBorder="1" applyAlignment="1">
      <alignment horizontal="center" vertical="center"/>
    </xf>
    <xf numFmtId="3" fontId="23" fillId="0" borderId="14" xfId="0" applyNumberFormat="1" applyFont="1" applyBorder="1" applyAlignment="1">
      <alignment horizontal="right" vertical="center"/>
    </xf>
    <xf numFmtId="3" fontId="23" fillId="0" borderId="92" xfId="0" applyNumberFormat="1" applyFont="1" applyBorder="1" applyAlignment="1">
      <alignment horizontal="right" vertical="center"/>
    </xf>
    <xf numFmtId="3" fontId="23" fillId="0" borderId="0" xfId="0" applyNumberFormat="1" applyFont="1" applyAlignment="1">
      <alignment horizontal="right" vertical="top"/>
    </xf>
    <xf numFmtId="3" fontId="23" fillId="0" borderId="0" xfId="0" applyNumberFormat="1" applyFont="1" applyAlignment="1">
      <alignment vertical="top"/>
    </xf>
    <xf numFmtId="3" fontId="20" fillId="0" borderId="82" xfId="0" applyNumberFormat="1" applyFont="1" applyBorder="1" applyAlignment="1">
      <alignment horizontal="center" vertical="center"/>
    </xf>
    <xf numFmtId="3" fontId="20" fillId="0" borderId="102" xfId="0" applyNumberFormat="1" applyFont="1" applyBorder="1" applyAlignment="1">
      <alignment horizontal="center" vertical="center"/>
    </xf>
    <xf numFmtId="3" fontId="20" fillId="0" borderId="82" xfId="0" applyNumberFormat="1" applyFont="1" applyBorder="1" applyAlignment="1">
      <alignment vertical="center"/>
    </xf>
    <xf numFmtId="3" fontId="34" fillId="0" borderId="0" xfId="0" applyNumberFormat="1" applyFont="1" applyAlignment="1">
      <alignment horizontal="right" vertical="center"/>
    </xf>
    <xf numFmtId="3" fontId="17" fillId="0" borderId="16" xfId="0" applyNumberFormat="1" applyFont="1" applyBorder="1" applyAlignment="1">
      <alignment vertical="center"/>
    </xf>
    <xf numFmtId="3" fontId="19" fillId="0" borderId="15" xfId="0" applyNumberFormat="1" applyFont="1" applyBorder="1" applyAlignment="1">
      <alignment horizontal="center" vertical="top"/>
    </xf>
    <xf numFmtId="3" fontId="19" fillId="0" borderId="16" xfId="30" applyNumberFormat="1" applyFont="1" applyBorder="1" applyAlignment="1">
      <alignment horizontal="left"/>
    </xf>
    <xf numFmtId="3" fontId="19" fillId="0" borderId="16" xfId="30" applyNumberFormat="1" applyFont="1" applyBorder="1" applyAlignment="1">
      <alignment horizontal="center" vertical="top" wrapText="1"/>
    </xf>
    <xf numFmtId="3" fontId="23" fillId="0" borderId="14" xfId="30" applyNumberFormat="1" applyFont="1" applyBorder="1" applyAlignment="1">
      <alignment horizontal="center" vertical="center"/>
    </xf>
    <xf numFmtId="3" fontId="23" fillId="0" borderId="87" xfId="0" applyNumberFormat="1" applyFont="1" applyBorder="1" applyAlignment="1">
      <alignment horizontal="right" vertical="center"/>
    </xf>
    <xf numFmtId="3" fontId="20" fillId="0" borderId="118" xfId="0" applyNumberFormat="1" applyFont="1" applyBorder="1" applyAlignment="1">
      <alignment vertical="center"/>
    </xf>
    <xf numFmtId="3" fontId="33" fillId="0" borderId="118" xfId="0" applyNumberFormat="1" applyFont="1" applyBorder="1" applyAlignment="1">
      <alignment horizontal="right"/>
    </xf>
    <xf numFmtId="3" fontId="33" fillId="0" borderId="116" xfId="0" applyNumberFormat="1" applyFont="1" applyBorder="1" applyAlignment="1">
      <alignment horizontal="right"/>
    </xf>
    <xf numFmtId="3" fontId="20" fillId="0" borderId="33" xfId="30" applyNumberFormat="1" applyFont="1" applyBorder="1" applyAlignment="1">
      <alignment horizontal="center"/>
    </xf>
    <xf numFmtId="3" fontId="20" fillId="0" borderId="33" xfId="0" applyNumberFormat="1" applyFont="1" applyBorder="1" applyAlignment="1">
      <alignment vertical="center"/>
    </xf>
    <xf numFmtId="3" fontId="20" fillId="0" borderId="33" xfId="0" applyNumberFormat="1" applyFont="1" applyBorder="1" applyAlignment="1">
      <alignment horizontal="right" vertical="center"/>
    </xf>
    <xf numFmtId="3" fontId="20" fillId="0" borderId="34" xfId="0" applyNumberFormat="1" applyFont="1" applyBorder="1" applyAlignment="1">
      <alignment horizontal="right" vertical="center"/>
    </xf>
    <xf numFmtId="3" fontId="20" fillId="0" borderId="0" xfId="0" applyNumberFormat="1" applyFont="1" applyAlignment="1">
      <alignment horizontal="right" vertical="top"/>
    </xf>
    <xf numFmtId="3" fontId="17" fillId="0" borderId="32" xfId="0" applyNumberFormat="1" applyFont="1" applyBorder="1" applyAlignment="1">
      <alignment horizontal="center"/>
    </xf>
    <xf numFmtId="3" fontId="17" fillId="0" borderId="97" xfId="0" applyNumberFormat="1" applyFont="1" applyBorder="1" applyAlignment="1">
      <alignment horizontal="center"/>
    </xf>
    <xf numFmtId="3" fontId="20" fillId="0" borderId="55" xfId="0" applyNumberFormat="1" applyFont="1" applyBorder="1"/>
    <xf numFmtId="3" fontId="20" fillId="0" borderId="105" xfId="0" applyNumberFormat="1" applyFont="1" applyBorder="1"/>
    <xf numFmtId="3" fontId="20" fillId="0" borderId="33" xfId="0" applyNumberFormat="1" applyFont="1" applyBorder="1" applyAlignment="1">
      <alignment horizontal="right"/>
    </xf>
    <xf numFmtId="3" fontId="20" fillId="0" borderId="38" xfId="0" applyNumberFormat="1" applyFont="1" applyBorder="1" applyAlignment="1">
      <alignment horizontal="right"/>
    </xf>
    <xf numFmtId="3" fontId="20" fillId="0" borderId="34" xfId="0" applyNumberFormat="1" applyFont="1" applyBorder="1" applyAlignment="1">
      <alignment horizontal="right"/>
    </xf>
    <xf numFmtId="3" fontId="17" fillId="0" borderId="20" xfId="30" applyNumberFormat="1" applyFont="1" applyBorder="1"/>
    <xf numFmtId="3" fontId="20" fillId="0" borderId="0" xfId="0" applyNumberFormat="1" applyFont="1"/>
    <xf numFmtId="3" fontId="20" fillId="0" borderId="16" xfId="0" applyNumberFormat="1" applyFont="1" applyBorder="1" applyAlignment="1">
      <alignment horizontal="center"/>
    </xf>
    <xf numFmtId="3" fontId="33" fillId="0" borderId="20" xfId="30" applyNumberFormat="1" applyFont="1" applyBorder="1"/>
    <xf numFmtId="3" fontId="20" fillId="0" borderId="16" xfId="0" applyNumberFormat="1" applyFont="1" applyBorder="1"/>
    <xf numFmtId="3" fontId="19" fillId="0" borderId="15" xfId="0" applyNumberFormat="1" applyFont="1" applyBorder="1" applyAlignment="1">
      <alignment horizontal="center"/>
    </xf>
    <xf numFmtId="3" fontId="19" fillId="0" borderId="16" xfId="0" applyNumberFormat="1" applyFont="1" applyBorder="1" applyAlignment="1">
      <alignment horizontal="center"/>
    </xf>
    <xf numFmtId="3" fontId="19" fillId="0" borderId="16" xfId="30" applyNumberFormat="1" applyFont="1" applyBorder="1" applyAlignment="1">
      <alignment horizontal="center"/>
    </xf>
    <xf numFmtId="3" fontId="19" fillId="0" borderId="17" xfId="0" applyNumberFormat="1" applyFont="1" applyBorder="1"/>
    <xf numFmtId="3" fontId="23" fillId="0" borderId="0" xfId="0" applyNumberFormat="1" applyFont="1" applyAlignment="1">
      <alignment horizontal="right"/>
    </xf>
    <xf numFmtId="3" fontId="23" fillId="0" borderId="0" xfId="0" applyNumberFormat="1" applyFont="1"/>
    <xf numFmtId="3" fontId="17" fillId="0" borderId="16" xfId="0" applyNumberFormat="1" applyFont="1" applyBorder="1" applyAlignment="1">
      <alignment horizontal="right" vertical="center"/>
    </xf>
    <xf numFmtId="3" fontId="20" fillId="0" borderId="16" xfId="0" applyNumberFormat="1" applyFont="1" applyBorder="1" applyAlignment="1">
      <alignment horizontal="right" vertical="center"/>
    </xf>
    <xf numFmtId="3" fontId="20" fillId="0" borderId="17" xfId="0" applyNumberFormat="1" applyFont="1" applyBorder="1" applyAlignment="1">
      <alignment horizontal="right" vertical="center"/>
    </xf>
    <xf numFmtId="3" fontId="17" fillId="0" borderId="16" xfId="30" applyNumberFormat="1" applyFont="1" applyBorder="1" applyAlignment="1">
      <alignment vertical="top" wrapText="1"/>
    </xf>
    <xf numFmtId="3" fontId="17" fillId="0" borderId="20" xfId="30" applyNumberFormat="1" applyFont="1" applyBorder="1" applyAlignment="1">
      <alignment vertical="top" wrapText="1"/>
    </xf>
    <xf numFmtId="3" fontId="41" fillId="0" borderId="20" xfId="30" applyNumberFormat="1" applyFont="1" applyBorder="1" applyAlignment="1">
      <alignment horizontal="left" wrapText="1"/>
    </xf>
    <xf numFmtId="3" fontId="41" fillId="0" borderId="0" xfId="0" applyNumberFormat="1" applyFont="1" applyAlignment="1">
      <alignment horizontal="right" vertical="center"/>
    </xf>
    <xf numFmtId="3" fontId="41" fillId="0" borderId="0" xfId="0" applyNumberFormat="1" applyFont="1" applyAlignment="1">
      <alignment vertical="center"/>
    </xf>
    <xf numFmtId="3" fontId="17" fillId="0" borderId="51" xfId="0" applyNumberFormat="1" applyFont="1" applyBorder="1"/>
    <xf numFmtId="3" fontId="20" fillId="0" borderId="14" xfId="30" applyNumberFormat="1" applyFont="1" applyBorder="1" applyAlignment="1">
      <alignment horizontal="center" vertical="center"/>
    </xf>
    <xf numFmtId="3" fontId="17" fillId="0" borderId="33" xfId="30" applyNumberFormat="1" applyFont="1" applyBorder="1" applyAlignment="1">
      <alignment horizontal="center" vertical="center"/>
    </xf>
    <xf numFmtId="3" fontId="23" fillId="0" borderId="33" xfId="0" applyNumberFormat="1" applyFont="1" applyBorder="1" applyAlignment="1">
      <alignment vertical="center"/>
    </xf>
    <xf numFmtId="3" fontId="23" fillId="0" borderId="38" xfId="0" applyNumberFormat="1" applyFont="1" applyBorder="1" applyAlignment="1">
      <alignment vertical="center"/>
    </xf>
    <xf numFmtId="3" fontId="23" fillId="0" borderId="34" xfId="0" applyNumberFormat="1" applyFont="1" applyBorder="1" applyAlignment="1">
      <alignment vertical="center"/>
    </xf>
    <xf numFmtId="3" fontId="20" fillId="0" borderId="33" xfId="0" applyNumberFormat="1" applyFont="1" applyBorder="1" applyAlignment="1">
      <alignment horizontal="center" vertical="center"/>
    </xf>
    <xf numFmtId="3" fontId="20" fillId="0" borderId="38" xfId="0" applyNumberFormat="1" applyFont="1" applyBorder="1" applyAlignment="1">
      <alignment horizontal="right" vertical="center"/>
    </xf>
    <xf numFmtId="3" fontId="20" fillId="0" borderId="37" xfId="0" applyNumberFormat="1" applyFont="1" applyBorder="1" applyAlignment="1">
      <alignment horizontal="right" vertical="center"/>
    </xf>
    <xf numFmtId="3" fontId="17" fillId="0" borderId="17" xfId="0" applyNumberFormat="1" applyFont="1" applyBorder="1" applyAlignment="1">
      <alignment vertical="center"/>
    </xf>
    <xf numFmtId="3" fontId="34" fillId="0" borderId="15" xfId="0" applyNumberFormat="1" applyFont="1" applyBorder="1" applyAlignment="1">
      <alignment horizontal="left" vertical="center" wrapText="1"/>
    </xf>
    <xf numFmtId="3" fontId="34" fillId="0" borderId="86" xfId="0" applyNumberFormat="1" applyFont="1" applyBorder="1" applyAlignment="1">
      <alignment horizontal="left" vertical="center" wrapText="1"/>
    </xf>
    <xf numFmtId="3" fontId="34" fillId="0" borderId="16" xfId="0" applyNumberFormat="1" applyFont="1" applyBorder="1" applyAlignment="1">
      <alignment horizontal="left" vertical="center" wrapText="1"/>
    </xf>
    <xf numFmtId="3" fontId="34" fillId="0" borderId="16" xfId="0" applyNumberFormat="1" applyFont="1" applyBorder="1" applyAlignment="1">
      <alignment horizontal="right" vertical="center"/>
    </xf>
    <xf numFmtId="3" fontId="17" fillId="0" borderId="16" xfId="0" applyNumberFormat="1" applyFont="1" applyBorder="1" applyAlignment="1">
      <alignment horizontal="center" vertical="center" wrapText="1"/>
    </xf>
    <xf numFmtId="3" fontId="17" fillId="0" borderId="16" xfId="0" applyNumberFormat="1" applyFont="1" applyBorder="1" applyAlignment="1">
      <alignment horizontal="right" vertical="top"/>
    </xf>
    <xf numFmtId="3" fontId="34" fillId="0" borderId="117" xfId="0" applyNumberFormat="1" applyFont="1" applyBorder="1" applyAlignment="1">
      <alignment horizontal="left" vertical="center" wrapText="1"/>
    </xf>
    <xf numFmtId="3" fontId="34" fillId="0" borderId="118" xfId="0" applyNumberFormat="1" applyFont="1" applyBorder="1" applyAlignment="1">
      <alignment horizontal="left" vertical="center" wrapText="1"/>
    </xf>
    <xf numFmtId="3" fontId="34" fillId="0" borderId="118" xfId="0" applyNumberFormat="1" applyFont="1" applyBorder="1" applyAlignment="1">
      <alignment horizontal="right" vertical="center"/>
    </xf>
    <xf numFmtId="3" fontId="14" fillId="0" borderId="81" xfId="0" applyNumberFormat="1" applyFont="1" applyBorder="1"/>
    <xf numFmtId="3" fontId="17" fillId="0" borderId="81" xfId="0" applyNumberFormat="1" applyFont="1" applyBorder="1"/>
    <xf numFmtId="3" fontId="17" fillId="0" borderId="81" xfId="0" applyNumberFormat="1" applyFont="1" applyBorder="1" applyAlignment="1">
      <alignment horizontal="center"/>
    </xf>
    <xf numFmtId="3" fontId="17" fillId="0" borderId="81" xfId="0" applyNumberFormat="1" applyFont="1" applyBorder="1" applyAlignment="1">
      <alignment horizontal="right"/>
    </xf>
    <xf numFmtId="3" fontId="20" fillId="0" borderId="81" xfId="0" applyNumberFormat="1" applyFont="1" applyBorder="1" applyAlignment="1">
      <alignment horizontal="right"/>
    </xf>
    <xf numFmtId="3" fontId="19" fillId="0" borderId="0" xfId="0" applyNumberFormat="1" applyFont="1"/>
    <xf numFmtId="0" fontId="10" fillId="0" borderId="0" xfId="47" applyFont="1" applyAlignment="1" applyProtection="1">
      <alignment horizontal="center" vertical="center"/>
      <protection locked="0"/>
    </xf>
    <xf numFmtId="3" fontId="10" fillId="0" borderId="0" xfId="47" applyNumberFormat="1" applyFont="1" applyAlignment="1" applyProtection="1">
      <alignment horizontal="center" vertical="center"/>
      <protection locked="0"/>
    </xf>
    <xf numFmtId="3" fontId="10" fillId="0" borderId="0" xfId="47" applyNumberFormat="1" applyFont="1" applyProtection="1">
      <protection locked="0"/>
    </xf>
    <xf numFmtId="3" fontId="10" fillId="0" borderId="0" xfId="47" applyNumberFormat="1" applyFont="1" applyAlignment="1" applyProtection="1">
      <alignment horizontal="right"/>
      <protection locked="0"/>
    </xf>
    <xf numFmtId="3" fontId="10" fillId="0" borderId="0" xfId="31" applyNumberFormat="1" applyFont="1" applyAlignment="1" applyProtection="1">
      <alignment horizontal="right"/>
      <protection locked="0"/>
    </xf>
    <xf numFmtId="0" fontId="10" fillId="0" borderId="0" xfId="47" applyFont="1" applyProtection="1">
      <protection locked="0"/>
    </xf>
    <xf numFmtId="0" fontId="10" fillId="0" borderId="0" xfId="31" applyFont="1" applyProtection="1">
      <protection locked="0"/>
    </xf>
    <xf numFmtId="0" fontId="10" fillId="0" borderId="0" xfId="31" applyFont="1" applyAlignment="1" applyProtection="1">
      <alignment horizontal="center" vertical="center"/>
      <protection locked="0"/>
    </xf>
    <xf numFmtId="0" fontId="17" fillId="0" borderId="0" xfId="31" applyFont="1" applyAlignment="1" applyProtection="1">
      <alignment horizontal="center" vertical="top"/>
      <protection locked="0"/>
    </xf>
    <xf numFmtId="0" fontId="17" fillId="0" borderId="0" xfId="31" applyFont="1" applyAlignment="1" applyProtection="1">
      <alignment wrapText="1"/>
      <protection locked="0"/>
    </xf>
    <xf numFmtId="3" fontId="17" fillId="0" borderId="0" xfId="31" applyNumberFormat="1" applyFont="1" applyAlignment="1" applyProtection="1">
      <alignment horizontal="center" vertical="center" wrapText="1"/>
      <protection locked="0"/>
    </xf>
    <xf numFmtId="3" fontId="17" fillId="0" borderId="0" xfId="31" applyNumberFormat="1" applyFont="1" applyProtection="1">
      <protection locked="0"/>
    </xf>
    <xf numFmtId="3" fontId="17" fillId="0" borderId="0" xfId="31" applyNumberFormat="1" applyFont="1" applyAlignment="1" applyProtection="1">
      <alignment horizontal="right"/>
      <protection locked="0"/>
    </xf>
    <xf numFmtId="3" fontId="19" fillId="0" borderId="0" xfId="31" applyNumberFormat="1" applyFont="1" applyAlignment="1" applyProtection="1">
      <alignment horizontal="right"/>
      <protection locked="0"/>
    </xf>
    <xf numFmtId="0" fontId="14" fillId="0" borderId="0" xfId="31" applyFont="1" applyAlignment="1" applyProtection="1">
      <alignment horizontal="center"/>
      <protection locked="0"/>
    </xf>
    <xf numFmtId="0" fontId="14" fillId="0" borderId="0" xfId="32" applyFont="1" applyAlignment="1" applyProtection="1">
      <alignment horizontal="center" wrapText="1"/>
      <protection locked="0"/>
    </xf>
    <xf numFmtId="3" fontId="14" fillId="0" borderId="0" xfId="32" applyNumberFormat="1" applyFont="1" applyAlignment="1" applyProtection="1">
      <alignment horizontal="center"/>
      <protection locked="0"/>
    </xf>
    <xf numFmtId="0" fontId="14" fillId="0" borderId="0" xfId="0" applyFont="1" applyProtection="1">
      <protection locked="0"/>
    </xf>
    <xf numFmtId="0" fontId="14" fillId="0" borderId="0" xfId="31" applyFont="1" applyAlignment="1" applyProtection="1">
      <alignment horizontal="center" vertical="center"/>
      <protection locked="0"/>
    </xf>
    <xf numFmtId="0" fontId="20" fillId="0" borderId="106" xfId="32" applyFont="1" applyBorder="1" applyAlignment="1" applyProtection="1">
      <alignment horizontal="center" vertical="center"/>
      <protection locked="0"/>
    </xf>
    <xf numFmtId="3" fontId="20" fillId="0" borderId="106" xfId="32" applyNumberFormat="1" applyFont="1" applyBorder="1" applyAlignment="1" applyProtection="1">
      <alignment vertical="center"/>
      <protection locked="0"/>
    </xf>
    <xf numFmtId="3" fontId="20" fillId="0" borderId="106" xfId="31" applyNumberFormat="1" applyFont="1" applyBorder="1" applyAlignment="1" applyProtection="1">
      <alignment vertical="center"/>
      <protection locked="0"/>
    </xf>
    <xf numFmtId="3" fontId="20" fillId="0" borderId="126" xfId="31" applyNumberFormat="1" applyFont="1" applyBorder="1" applyAlignment="1" applyProtection="1">
      <alignment horizontal="right" vertical="center"/>
      <protection locked="0"/>
    </xf>
    <xf numFmtId="0" fontId="20" fillId="0" borderId="0" xfId="31" applyFont="1" applyAlignment="1" applyProtection="1">
      <alignment horizontal="left" vertical="center"/>
      <protection locked="0"/>
    </xf>
    <xf numFmtId="0" fontId="20" fillId="0" borderId="49" xfId="32" applyFont="1" applyBorder="1" applyAlignment="1" applyProtection="1">
      <alignment horizontal="center" vertical="center"/>
      <protection locked="0"/>
    </xf>
    <xf numFmtId="3" fontId="20" fillId="0" borderId="49" xfId="32" applyNumberFormat="1" applyFont="1" applyBorder="1" applyAlignment="1" applyProtection="1">
      <alignment vertical="center"/>
      <protection locked="0"/>
    </xf>
    <xf numFmtId="3" fontId="20" fillId="0" borderId="49" xfId="31" applyNumberFormat="1" applyFont="1" applyBorder="1" applyAlignment="1" applyProtection="1">
      <alignment vertical="center"/>
      <protection locked="0"/>
    </xf>
    <xf numFmtId="3" fontId="20" fillId="0" borderId="127" xfId="31" applyNumberFormat="1" applyFont="1" applyBorder="1" applyAlignment="1" applyProtection="1">
      <alignment horizontal="right" vertical="center"/>
      <protection locked="0"/>
    </xf>
    <xf numFmtId="3" fontId="17" fillId="0" borderId="0" xfId="47" applyNumberFormat="1" applyFont="1" applyAlignment="1" applyProtection="1">
      <alignment horizontal="left" vertical="top"/>
      <protection locked="0"/>
    </xf>
    <xf numFmtId="3" fontId="17" fillId="0" borderId="0" xfId="47" applyNumberFormat="1" applyFont="1" applyAlignment="1" applyProtection="1">
      <alignment horizontal="center" vertical="top"/>
      <protection locked="0"/>
    </xf>
    <xf numFmtId="3" fontId="17" fillId="0" borderId="0" xfId="47" applyNumberFormat="1" applyFont="1" applyAlignment="1" applyProtection="1">
      <alignment horizontal="center" vertical="center"/>
      <protection locked="0"/>
    </xf>
    <xf numFmtId="3" fontId="17" fillId="0" borderId="0" xfId="32" applyNumberFormat="1" applyFont="1" applyProtection="1">
      <protection locked="0"/>
    </xf>
    <xf numFmtId="3" fontId="17" fillId="0" borderId="0" xfId="32" applyNumberFormat="1" applyFont="1" applyAlignment="1" applyProtection="1">
      <alignment wrapText="1"/>
      <protection locked="0"/>
    </xf>
    <xf numFmtId="3" fontId="17" fillId="0" borderId="0" xfId="32" applyNumberFormat="1" applyFont="1" applyAlignment="1" applyProtection="1">
      <alignment horizontal="right"/>
      <protection locked="0"/>
    </xf>
    <xf numFmtId="3" fontId="17" fillId="0" borderId="0" xfId="47" applyNumberFormat="1" applyFont="1" applyProtection="1">
      <protection locked="0"/>
    </xf>
    <xf numFmtId="3" fontId="17" fillId="0" borderId="0" xfId="31" applyNumberFormat="1" applyFont="1" applyAlignment="1" applyProtection="1">
      <alignment horizontal="right" vertical="center"/>
      <protection locked="0"/>
    </xf>
    <xf numFmtId="3" fontId="19" fillId="0" borderId="24" xfId="0" applyNumberFormat="1" applyFont="1" applyBorder="1"/>
    <xf numFmtId="3" fontId="34" fillId="0" borderId="17" xfId="0" applyNumberFormat="1" applyFont="1" applyBorder="1"/>
    <xf numFmtId="0" fontId="26" fillId="0" borderId="17" xfId="0" applyFont="1" applyBorder="1"/>
    <xf numFmtId="3" fontId="34" fillId="0" borderId="36" xfId="0" applyNumberFormat="1" applyFont="1" applyBorder="1"/>
    <xf numFmtId="3" fontId="20" fillId="0" borderId="92" xfId="0" applyNumberFormat="1" applyFont="1" applyBorder="1"/>
    <xf numFmtId="3" fontId="19" fillId="0" borderId="34" xfId="0" applyNumberFormat="1" applyFont="1" applyBorder="1"/>
    <xf numFmtId="3" fontId="23" fillId="0" borderId="34" xfId="0" applyNumberFormat="1" applyFont="1" applyBorder="1"/>
    <xf numFmtId="3" fontId="17" fillId="0" borderId="7" xfId="0" applyNumberFormat="1" applyFont="1" applyBorder="1" applyAlignment="1">
      <alignment horizontal="center" vertical="center" wrapText="1"/>
    </xf>
    <xf numFmtId="3" fontId="17" fillId="0" borderId="86" xfId="30" applyNumberFormat="1" applyFont="1" applyBorder="1" applyAlignment="1">
      <alignment horizontal="left"/>
    </xf>
    <xf numFmtId="0" fontId="10" fillId="0" borderId="41" xfId="0" applyFont="1" applyBorder="1" applyAlignment="1">
      <alignment horizontal="center" vertical="center" wrapText="1"/>
    </xf>
    <xf numFmtId="0" fontId="10" fillId="0" borderId="10" xfId="0" applyFont="1" applyBorder="1" applyAlignment="1">
      <alignment horizontal="center" vertical="center" wrapText="1"/>
    </xf>
    <xf numFmtId="0" fontId="10" fillId="0" borderId="42" xfId="0" applyFont="1" applyBorder="1" applyAlignment="1">
      <alignment horizontal="center"/>
    </xf>
    <xf numFmtId="0" fontId="10" fillId="0" borderId="8" xfId="0" applyFont="1" applyBorder="1" applyAlignment="1">
      <alignment horizontal="center"/>
    </xf>
    <xf numFmtId="0" fontId="10" fillId="0" borderId="43" xfId="0" applyFont="1" applyBorder="1" applyAlignment="1">
      <alignment horizontal="center"/>
    </xf>
    <xf numFmtId="0" fontId="10" fillId="0" borderId="27" xfId="0" applyFont="1" applyBorder="1" applyAlignment="1">
      <alignment horizontal="center"/>
    </xf>
    <xf numFmtId="0" fontId="10" fillId="0" borderId="67" xfId="0" applyFont="1" applyBorder="1" applyAlignment="1">
      <alignment horizontal="center"/>
    </xf>
    <xf numFmtId="0" fontId="10" fillId="0" borderId="150" xfId="0" applyFont="1" applyBorder="1" applyAlignment="1">
      <alignment horizontal="center"/>
    </xf>
    <xf numFmtId="0" fontId="10" fillId="0" borderId="69" xfId="0" applyFont="1" applyBorder="1" applyAlignment="1">
      <alignment horizontal="center"/>
    </xf>
    <xf numFmtId="0" fontId="10" fillId="0" borderId="70" xfId="0" applyFont="1" applyBorder="1" applyAlignment="1">
      <alignment horizontal="center"/>
    </xf>
    <xf numFmtId="0" fontId="10" fillId="0" borderId="72" xfId="0" applyFont="1" applyBorder="1" applyAlignment="1">
      <alignment horizontal="center"/>
    </xf>
    <xf numFmtId="0" fontId="10" fillId="0" borderId="5" xfId="0" applyFont="1" applyBorder="1" applyAlignment="1">
      <alignment horizontal="center"/>
    </xf>
    <xf numFmtId="0" fontId="10" fillId="0" borderId="6" xfId="0" applyFont="1" applyBorder="1" applyAlignment="1">
      <alignment horizontal="center"/>
    </xf>
    <xf numFmtId="3" fontId="10" fillId="0" borderId="8" xfId="0" applyNumberFormat="1" applyFont="1" applyBorder="1" applyAlignment="1">
      <alignment horizontal="center"/>
    </xf>
    <xf numFmtId="3" fontId="10" fillId="0" borderId="27" xfId="0" applyNumberFormat="1" applyFont="1" applyBorder="1" applyAlignment="1">
      <alignment horizontal="center"/>
    </xf>
    <xf numFmtId="3" fontId="10" fillId="0" borderId="9" xfId="0" applyNumberFormat="1" applyFont="1" applyBorder="1" applyAlignment="1">
      <alignment horizontal="center"/>
    </xf>
    <xf numFmtId="0" fontId="10" fillId="0" borderId="56" xfId="0" applyFont="1" applyBorder="1" applyAlignment="1">
      <alignment horizontal="center" vertical="center"/>
    </xf>
    <xf numFmtId="3" fontId="10" fillId="0" borderId="177" xfId="0" applyNumberFormat="1" applyFont="1" applyBorder="1" applyAlignment="1">
      <alignment horizontal="center" vertical="center" wrapText="1"/>
    </xf>
    <xf numFmtId="3" fontId="10" fillId="0" borderId="30" xfId="31" applyNumberFormat="1" applyFont="1" applyBorder="1" applyAlignment="1">
      <alignment horizontal="right"/>
    </xf>
    <xf numFmtId="3" fontId="10" fillId="0" borderId="16" xfId="31" applyNumberFormat="1" applyFont="1" applyBorder="1" applyAlignment="1">
      <alignment horizontal="right" vertical="top"/>
    </xf>
    <xf numFmtId="0" fontId="10" fillId="0" borderId="35" xfId="31" applyFont="1" applyBorder="1" applyAlignment="1">
      <alignment horizontal="center" vertical="top"/>
    </xf>
    <xf numFmtId="3" fontId="37" fillId="0" borderId="98" xfId="31" applyNumberFormat="1" applyFont="1" applyBorder="1" applyAlignment="1">
      <alignment horizontal="right"/>
    </xf>
    <xf numFmtId="3" fontId="37" fillId="0" borderId="35" xfId="31" applyNumberFormat="1" applyFont="1" applyBorder="1" applyAlignment="1">
      <alignment horizontal="right"/>
    </xf>
    <xf numFmtId="3" fontId="38" fillId="0" borderId="35" xfId="31" applyNumberFormat="1" applyFont="1" applyBorder="1" applyAlignment="1">
      <alignment horizontal="right"/>
    </xf>
    <xf numFmtId="3" fontId="10" fillId="0" borderId="20" xfId="31" applyNumberFormat="1" applyFont="1" applyBorder="1" applyAlignment="1">
      <alignment horizontal="right" vertical="top"/>
    </xf>
    <xf numFmtId="3" fontId="41" fillId="0" borderId="22" xfId="0" applyNumberFormat="1" applyFont="1" applyBorder="1" applyAlignment="1">
      <alignment horizontal="center"/>
    </xf>
    <xf numFmtId="3" fontId="41" fillId="0" borderId="21" xfId="30" applyNumberFormat="1" applyFont="1" applyBorder="1" applyAlignment="1">
      <alignment horizontal="center"/>
    </xf>
    <xf numFmtId="3" fontId="33" fillId="0" borderId="50" xfId="0" applyNumberFormat="1" applyFont="1" applyBorder="1"/>
    <xf numFmtId="3" fontId="33" fillId="0" borderId="21" xfId="0" applyNumberFormat="1" applyFont="1" applyBorder="1" applyAlignment="1">
      <alignment horizontal="right" vertical="center"/>
    </xf>
    <xf numFmtId="3" fontId="33" fillId="0" borderId="24" xfId="0" applyNumberFormat="1" applyFont="1" applyBorder="1" applyAlignment="1">
      <alignment horizontal="right" vertical="center"/>
    </xf>
    <xf numFmtId="3" fontId="17" fillId="0" borderId="35" xfId="30" applyNumberFormat="1" applyFont="1" applyBorder="1" applyAlignment="1">
      <alignment horizontal="left"/>
    </xf>
    <xf numFmtId="3" fontId="12" fillId="0" borderId="86" xfId="31" applyNumberFormat="1" applyFont="1" applyBorder="1" applyAlignment="1">
      <alignment horizontal="right"/>
    </xf>
    <xf numFmtId="0" fontId="10" fillId="0" borderId="135" xfId="31" applyFont="1" applyBorder="1" applyAlignment="1">
      <alignment horizontal="center" wrapText="1"/>
    </xf>
    <xf numFmtId="3" fontId="37" fillId="0" borderId="134" xfId="28" applyNumberFormat="1" applyFont="1" applyBorder="1" applyAlignment="1">
      <alignment horizontal="right" wrapText="1"/>
    </xf>
    <xf numFmtId="3" fontId="45" fillId="0" borderId="117" xfId="28" applyNumberFormat="1" applyFont="1" applyBorder="1" applyAlignment="1">
      <alignment vertical="center" wrapText="1"/>
    </xf>
    <xf numFmtId="3" fontId="45" fillId="0" borderId="118" xfId="28" applyNumberFormat="1" applyFont="1" applyBorder="1" applyAlignment="1">
      <alignment vertical="center" wrapText="1"/>
    </xf>
    <xf numFmtId="3" fontId="37" fillId="0" borderId="53" xfId="31" applyNumberFormat="1" applyFont="1" applyBorder="1" applyAlignment="1">
      <alignment horizontal="right"/>
    </xf>
    <xf numFmtId="3" fontId="38" fillId="0" borderId="53" xfId="31" applyNumberFormat="1" applyFont="1" applyBorder="1" applyAlignment="1">
      <alignment horizontal="right"/>
    </xf>
    <xf numFmtId="0" fontId="10" fillId="0" borderId="0" xfId="0" applyFont="1" applyAlignment="1">
      <alignment horizontal="left"/>
    </xf>
    <xf numFmtId="0" fontId="10" fillId="0" borderId="0" xfId="32" applyFont="1"/>
    <xf numFmtId="0" fontId="10" fillId="0" borderId="0" xfId="32" applyFont="1" applyAlignment="1">
      <alignment horizontal="center"/>
    </xf>
    <xf numFmtId="0" fontId="10" fillId="0" borderId="0" xfId="0" applyFont="1" applyAlignment="1">
      <alignment wrapText="1"/>
    </xf>
    <xf numFmtId="1" fontId="10" fillId="0" borderId="0" xfId="0" applyNumberFormat="1" applyFont="1" applyAlignment="1">
      <alignment horizontal="center"/>
    </xf>
    <xf numFmtId="3" fontId="10" fillId="0" borderId="0" xfId="0" applyNumberFormat="1" applyFont="1" applyAlignment="1">
      <alignment horizontal="center"/>
    </xf>
    <xf numFmtId="0" fontId="12" fillId="0" borderId="0" xfId="0" applyFont="1" applyAlignment="1">
      <alignment horizontal="left" vertical="center"/>
    </xf>
    <xf numFmtId="0" fontId="10" fillId="0" borderId="0" xfId="0" applyFont="1" applyAlignment="1">
      <alignment horizontal="left" indent="2"/>
    </xf>
    <xf numFmtId="0" fontId="12" fillId="0" borderId="0" xfId="0" applyFont="1" applyAlignment="1">
      <alignment horizontal="left" vertical="center" wrapText="1"/>
    </xf>
    <xf numFmtId="0" fontId="12" fillId="0" borderId="181" xfId="31" applyFont="1" applyBorder="1" applyAlignment="1">
      <alignment horizontal="center"/>
    </xf>
    <xf numFmtId="3" fontId="10" fillId="0" borderId="113" xfId="31" applyNumberFormat="1" applyFont="1" applyBorder="1" applyAlignment="1">
      <alignment horizontal="right"/>
    </xf>
    <xf numFmtId="3" fontId="38" fillId="0" borderId="98" xfId="31" applyNumberFormat="1" applyFont="1" applyBorder="1" applyAlignment="1">
      <alignment horizontal="right"/>
    </xf>
    <xf numFmtId="0" fontId="10" fillId="0" borderId="121" xfId="31" applyFont="1" applyBorder="1" applyAlignment="1">
      <alignment horizontal="center" vertical="top" wrapText="1"/>
    </xf>
    <xf numFmtId="3" fontId="10" fillId="0" borderId="113" xfId="31" applyNumberFormat="1" applyFont="1" applyBorder="1" applyAlignment="1">
      <alignment horizontal="right" vertical="top"/>
    </xf>
    <xf numFmtId="3" fontId="37" fillId="0" borderId="17" xfId="31" applyNumberFormat="1" applyFont="1" applyBorder="1" applyAlignment="1">
      <alignment horizontal="right"/>
    </xf>
    <xf numFmtId="3" fontId="33" fillId="0" borderId="16" xfId="27" applyNumberFormat="1" applyFont="1" applyBorder="1" applyAlignment="1">
      <alignment wrapText="1"/>
    </xf>
    <xf numFmtId="4" fontId="14" fillId="0" borderId="18" xfId="0" applyNumberFormat="1" applyFont="1" applyBorder="1" applyAlignment="1">
      <alignment horizontal="center" wrapText="1"/>
    </xf>
    <xf numFmtId="3" fontId="10" fillId="0" borderId="35" xfId="31" applyNumberFormat="1" applyFont="1" applyBorder="1" applyAlignment="1">
      <alignment horizontal="right" vertical="top"/>
    </xf>
    <xf numFmtId="0" fontId="17" fillId="0" borderId="21" xfId="31" applyFont="1" applyBorder="1" applyAlignment="1" applyProtection="1">
      <alignment horizontal="left" wrapText="1"/>
      <protection locked="0"/>
    </xf>
    <xf numFmtId="0" fontId="17" fillId="0" borderId="16" xfId="31" applyFont="1" applyBorder="1" applyAlignment="1">
      <alignment horizontal="center" vertical="top"/>
    </xf>
    <xf numFmtId="0" fontId="14" fillId="0" borderId="0" xfId="15" applyFont="1" applyAlignment="1">
      <alignment horizontal="center" vertical="center"/>
    </xf>
    <xf numFmtId="3" fontId="10" fillId="0" borderId="0" xfId="15" applyNumberFormat="1" applyFont="1" applyAlignment="1">
      <alignment horizontal="center" vertical="center"/>
    </xf>
    <xf numFmtId="0" fontId="14" fillId="0" borderId="0" xfId="31" applyFont="1" applyAlignment="1">
      <alignment horizontal="center" vertical="center"/>
    </xf>
    <xf numFmtId="0" fontId="17" fillId="0" borderId="0" xfId="31" applyFont="1" applyAlignment="1">
      <alignment horizontal="center" vertical="center"/>
    </xf>
    <xf numFmtId="0" fontId="17" fillId="0" borderId="0" xfId="31" applyFont="1" applyAlignment="1">
      <alignment horizontal="center" vertical="top"/>
    </xf>
    <xf numFmtId="0" fontId="17" fillId="0" borderId="0" xfId="31" applyFont="1" applyAlignment="1">
      <alignment wrapText="1"/>
    </xf>
    <xf numFmtId="3" fontId="17" fillId="0" borderId="0" xfId="31" applyNumberFormat="1" applyFont="1" applyAlignment="1">
      <alignment horizontal="center" vertical="center" wrapText="1"/>
    </xf>
    <xf numFmtId="0" fontId="14" fillId="0" borderId="0" xfId="32" applyFont="1" applyAlignment="1">
      <alignment horizontal="center" vertical="center" wrapText="1"/>
    </xf>
    <xf numFmtId="3" fontId="14" fillId="0" borderId="0" xfId="32" applyNumberFormat="1" applyFont="1" applyAlignment="1">
      <alignment horizontal="center" vertical="center"/>
    </xf>
    <xf numFmtId="3" fontId="17" fillId="0" borderId="6" xfId="31" applyNumberFormat="1" applyFont="1" applyBorder="1" applyAlignment="1">
      <alignment horizontal="center" vertical="center" wrapText="1"/>
    </xf>
    <xf numFmtId="3" fontId="17" fillId="0" borderId="7" xfId="31" applyNumberFormat="1" applyFont="1" applyBorder="1" applyAlignment="1">
      <alignment horizontal="center" vertical="center" wrapText="1"/>
    </xf>
    <xf numFmtId="3" fontId="14" fillId="0" borderId="0" xfId="31" applyNumberFormat="1" applyFont="1" applyAlignment="1">
      <alignment horizontal="center" vertical="center"/>
    </xf>
    <xf numFmtId="0" fontId="17" fillId="0" borderId="23" xfId="31" applyFont="1" applyBorder="1" applyAlignment="1">
      <alignment horizontal="center"/>
    </xf>
    <xf numFmtId="3" fontId="17" fillId="0" borderId="104" xfId="29" applyNumberFormat="1" applyFont="1" applyBorder="1" applyAlignment="1">
      <alignment horizontal="left" vertical="center" wrapText="1"/>
    </xf>
    <xf numFmtId="3" fontId="17" fillId="0" borderId="21" xfId="31" applyNumberFormat="1" applyFont="1" applyBorder="1" applyAlignment="1">
      <alignment horizontal="right" vertical="center"/>
    </xf>
    <xf numFmtId="3" fontId="17" fillId="0" borderId="21" xfId="28" applyNumberFormat="1" applyFont="1" applyBorder="1" applyAlignment="1">
      <alignment horizontal="right" vertical="center"/>
    </xf>
    <xf numFmtId="3" fontId="17" fillId="0" borderId="22" xfId="31" applyNumberFormat="1" applyFont="1" applyBorder="1" applyAlignment="1">
      <alignment horizontal="right" vertical="center"/>
    </xf>
    <xf numFmtId="0" fontId="17" fillId="0" borderId="50" xfId="31" applyFont="1" applyBorder="1" applyAlignment="1">
      <alignment horizontal="center" vertical="center" wrapText="1"/>
    </xf>
    <xf numFmtId="3" fontId="17" fillId="0" borderId="97" xfId="28" applyNumberFormat="1" applyFont="1" applyBorder="1" applyAlignment="1">
      <alignment horizontal="right" vertical="center" wrapText="1"/>
    </xf>
    <xf numFmtId="3" fontId="17" fillId="0" borderId="33" xfId="28" applyNumberFormat="1" applyFont="1" applyBorder="1" applyAlignment="1">
      <alignment horizontal="right" vertical="center" wrapText="1"/>
    </xf>
    <xf numFmtId="3" fontId="17" fillId="0" borderId="110" xfId="28" applyNumberFormat="1" applyFont="1" applyBorder="1" applyAlignment="1">
      <alignment horizontal="right" vertical="center" wrapText="1"/>
    </xf>
    <xf numFmtId="3" fontId="17" fillId="0" borderId="108" xfId="31" applyNumberFormat="1" applyFont="1" applyBorder="1" applyAlignment="1">
      <alignment horizontal="right" vertical="center"/>
    </xf>
    <xf numFmtId="0" fontId="17" fillId="0" borderId="15" xfId="31" applyFont="1" applyBorder="1" applyAlignment="1">
      <alignment horizontal="center" vertical="center"/>
    </xf>
    <xf numFmtId="3" fontId="17" fillId="0" borderId="16" xfId="31" applyNumberFormat="1" applyFont="1" applyBorder="1" applyAlignment="1">
      <alignment horizontal="right" vertical="center"/>
    </xf>
    <xf numFmtId="3" fontId="17" fillId="0" borderId="16" xfId="28" applyNumberFormat="1" applyFont="1" applyBorder="1" applyAlignment="1">
      <alignment horizontal="right" vertical="center"/>
    </xf>
    <xf numFmtId="3" fontId="17" fillId="0" borderId="86" xfId="28" applyNumberFormat="1" applyFont="1" applyBorder="1" applyAlignment="1">
      <alignment horizontal="right" vertical="center" wrapText="1"/>
    </xf>
    <xf numFmtId="3" fontId="17" fillId="0" borderId="16" xfId="28" applyNumberFormat="1" applyFont="1" applyBorder="1" applyAlignment="1">
      <alignment horizontal="right" vertical="center" wrapText="1"/>
    </xf>
    <xf numFmtId="3" fontId="17" fillId="0" borderId="111" xfId="28" applyNumberFormat="1" applyFont="1" applyBorder="1" applyAlignment="1">
      <alignment horizontal="right" vertical="center" wrapText="1"/>
    </xf>
    <xf numFmtId="3" fontId="17" fillId="0" borderId="109" xfId="31" applyNumberFormat="1" applyFont="1" applyBorder="1" applyAlignment="1">
      <alignment horizontal="right" vertical="center"/>
    </xf>
    <xf numFmtId="0" fontId="17" fillId="0" borderId="16" xfId="31" applyFont="1" applyBorder="1" applyAlignment="1">
      <alignment horizontal="center"/>
    </xf>
    <xf numFmtId="0" fontId="10" fillId="0" borderId="16" xfId="31" applyFont="1" applyBorder="1" applyAlignment="1">
      <alignment wrapText="1"/>
    </xf>
    <xf numFmtId="3" fontId="17" fillId="0" borderId="182" xfId="31" applyNumberFormat="1" applyFont="1" applyBorder="1" applyAlignment="1">
      <alignment horizontal="right" vertical="center"/>
    </xf>
    <xf numFmtId="3" fontId="17" fillId="0" borderId="111" xfId="31" applyNumberFormat="1" applyFont="1" applyBorder="1" applyAlignment="1">
      <alignment horizontal="right" vertical="center"/>
    </xf>
    <xf numFmtId="0" fontId="17" fillId="0" borderId="86" xfId="31" applyFont="1" applyBorder="1" applyAlignment="1">
      <alignment horizontal="center" vertical="center" wrapText="1"/>
    </xf>
    <xf numFmtId="3" fontId="17" fillId="0" borderId="130" xfId="28" applyNumberFormat="1" applyFont="1" applyBorder="1" applyAlignment="1">
      <alignment horizontal="right" vertical="center" wrapText="1"/>
    </xf>
    <xf numFmtId="3" fontId="33" fillId="0" borderId="52" xfId="27" applyNumberFormat="1" applyFont="1" applyBorder="1" applyAlignment="1">
      <alignment wrapText="1"/>
    </xf>
    <xf numFmtId="3" fontId="20" fillId="0" borderId="130" xfId="28" applyNumberFormat="1" applyFont="1" applyBorder="1" applyAlignment="1">
      <alignment horizontal="right" vertical="center" wrapText="1"/>
    </xf>
    <xf numFmtId="3" fontId="19" fillId="0" borderId="130" xfId="28" applyNumberFormat="1" applyFont="1" applyBorder="1" applyAlignment="1">
      <alignment horizontal="right" vertical="center" wrapText="1"/>
    </xf>
    <xf numFmtId="3" fontId="17" fillId="0" borderId="0" xfId="31" applyNumberFormat="1" applyFont="1" applyAlignment="1">
      <alignment horizontal="right" vertical="center"/>
    </xf>
    <xf numFmtId="3" fontId="17" fillId="0" borderId="0" xfId="15" applyNumberFormat="1" applyFont="1" applyAlignment="1">
      <alignment horizontal="left" vertical="top"/>
    </xf>
    <xf numFmtId="3" fontId="17" fillId="0" borderId="0" xfId="32" applyNumberFormat="1" applyFont="1" applyAlignment="1">
      <alignment horizontal="right"/>
    </xf>
    <xf numFmtId="3" fontId="17" fillId="0" borderId="0" xfId="32" applyNumberFormat="1" applyFont="1" applyAlignment="1">
      <alignment horizontal="right" wrapText="1"/>
    </xf>
    <xf numFmtId="3" fontId="17" fillId="0" borderId="0" xfId="15" applyNumberFormat="1" applyFont="1" applyAlignment="1">
      <alignment horizontal="center" vertical="center"/>
    </xf>
    <xf numFmtId="3" fontId="17" fillId="0" borderId="0" xfId="15" applyNumberFormat="1" applyFont="1" applyAlignment="1">
      <alignment horizontal="right"/>
    </xf>
    <xf numFmtId="0" fontId="39" fillId="0" borderId="16" xfId="31" applyFont="1" applyBorder="1" applyAlignment="1">
      <alignment horizontal="left" wrapText="1" indent="1"/>
    </xf>
    <xf numFmtId="3" fontId="20" fillId="0" borderId="117" xfId="28" applyNumberFormat="1" applyFont="1" applyBorder="1" applyAlignment="1">
      <alignment vertical="center" wrapText="1"/>
    </xf>
    <xf numFmtId="3" fontId="20" fillId="0" borderId="118" xfId="28" applyNumberFormat="1" applyFont="1" applyBorder="1" applyAlignment="1">
      <alignment vertical="center" wrapText="1"/>
    </xf>
    <xf numFmtId="0" fontId="17" fillId="0" borderId="192" xfId="31" applyFont="1" applyBorder="1" applyAlignment="1">
      <alignment horizontal="center" vertical="center"/>
    </xf>
    <xf numFmtId="3" fontId="17" fillId="0" borderId="128" xfId="28" applyNumberFormat="1" applyFont="1" applyBorder="1" applyAlignment="1">
      <alignment horizontal="right" vertical="center" wrapText="1"/>
    </xf>
    <xf numFmtId="3" fontId="10" fillId="0" borderId="57" xfId="0" applyNumberFormat="1" applyFont="1" applyBorder="1" applyAlignment="1">
      <alignment horizontal="center" vertical="center" wrapText="1"/>
    </xf>
    <xf numFmtId="3" fontId="10" fillId="0" borderId="163" xfId="0" applyNumberFormat="1" applyFont="1" applyBorder="1" applyAlignment="1">
      <alignment horizontal="center" vertical="center" wrapText="1"/>
    </xf>
    <xf numFmtId="3" fontId="10" fillId="0" borderId="59" xfId="0" applyNumberFormat="1" applyFont="1" applyBorder="1" applyAlignment="1">
      <alignment horizontal="right" vertical="center" textRotation="180"/>
    </xf>
    <xf numFmtId="3" fontId="10" fillId="0" borderId="179" xfId="0" applyNumberFormat="1" applyFont="1" applyBorder="1" applyAlignment="1">
      <alignment horizontal="right" vertical="center" textRotation="180"/>
    </xf>
    <xf numFmtId="3" fontId="10" fillId="0" borderId="171" xfId="0" applyNumberFormat="1" applyFont="1" applyBorder="1" applyAlignment="1">
      <alignment horizontal="right"/>
    </xf>
    <xf numFmtId="3" fontId="12" fillId="0" borderId="61" xfId="0" applyNumberFormat="1" applyFont="1" applyBorder="1" applyAlignment="1">
      <alignment horizontal="right" vertical="center"/>
    </xf>
    <xf numFmtId="3" fontId="12" fillId="0" borderId="164" xfId="0" applyNumberFormat="1" applyFont="1" applyBorder="1" applyAlignment="1">
      <alignment horizontal="right" vertical="center"/>
    </xf>
    <xf numFmtId="3" fontId="10" fillId="0" borderId="171" xfId="0" applyNumberFormat="1" applyFont="1" applyBorder="1" applyAlignment="1">
      <alignment horizontal="right" vertical="center" textRotation="180"/>
    </xf>
    <xf numFmtId="3" fontId="12" fillId="0" borderId="195" xfId="0" applyNumberFormat="1" applyFont="1" applyBorder="1" applyAlignment="1">
      <alignment horizontal="right" vertical="center"/>
    </xf>
    <xf numFmtId="3" fontId="12" fillId="0" borderId="196" xfId="0" applyNumberFormat="1" applyFont="1" applyBorder="1" applyAlignment="1">
      <alignment horizontal="right" vertical="center"/>
    </xf>
    <xf numFmtId="3" fontId="12" fillId="0" borderId="197" xfId="0" applyNumberFormat="1" applyFont="1" applyBorder="1" applyAlignment="1">
      <alignment horizontal="right" vertical="center"/>
    </xf>
    <xf numFmtId="3" fontId="10" fillId="0" borderId="171" xfId="0" applyNumberFormat="1" applyFont="1" applyBorder="1" applyAlignment="1">
      <alignment horizontal="right" vertical="center"/>
    </xf>
    <xf numFmtId="3" fontId="10" fillId="0" borderId="195" xfId="0" applyNumberFormat="1" applyFont="1" applyBorder="1" applyAlignment="1">
      <alignment horizontal="right" vertical="center"/>
    </xf>
    <xf numFmtId="3" fontId="10" fillId="0" borderId="77" xfId="0" applyNumberFormat="1" applyFont="1" applyBorder="1" applyAlignment="1">
      <alignment horizontal="right" vertical="center"/>
    </xf>
    <xf numFmtId="3" fontId="10" fillId="0" borderId="198" xfId="0" applyNumberFormat="1" applyFont="1" applyBorder="1" applyAlignment="1">
      <alignment horizontal="right" vertical="center"/>
    </xf>
    <xf numFmtId="166" fontId="10" fillId="0" borderId="171" xfId="33" applyNumberFormat="1" applyFont="1" applyFill="1" applyBorder="1" applyAlignment="1">
      <alignment horizontal="right"/>
    </xf>
    <xf numFmtId="166" fontId="10" fillId="0" borderId="132" xfId="33" applyNumberFormat="1" applyFont="1" applyFill="1" applyBorder="1" applyAlignment="1">
      <alignment horizontal="right"/>
    </xf>
    <xf numFmtId="3" fontId="17" fillId="0" borderId="125" xfId="31" applyNumberFormat="1" applyFont="1" applyBorder="1" applyAlignment="1">
      <alignment horizontal="center" vertical="center" wrapText="1"/>
    </xf>
    <xf numFmtId="0" fontId="43" fillId="0" borderId="16" xfId="31" applyFont="1" applyBorder="1" applyAlignment="1">
      <alignment horizontal="left"/>
    </xf>
    <xf numFmtId="0" fontId="44" fillId="0" borderId="16" xfId="31" applyFont="1" applyBorder="1" applyAlignment="1">
      <alignment wrapText="1"/>
    </xf>
    <xf numFmtId="0" fontId="39" fillId="0" borderId="16" xfId="31" applyFont="1" applyBorder="1" applyAlignment="1">
      <alignment horizontal="left" vertical="center" wrapText="1" indent="1"/>
    </xf>
    <xf numFmtId="0" fontId="39" fillId="0" borderId="16" xfId="31" applyFont="1" applyBorder="1" applyAlignment="1">
      <alignment horizontal="left" indent="1" shrinkToFit="1"/>
    </xf>
    <xf numFmtId="0" fontId="43" fillId="0" borderId="16" xfId="31" applyFont="1" applyBorder="1" applyAlignment="1">
      <alignment horizontal="left" wrapText="1"/>
    </xf>
    <xf numFmtId="0" fontId="43" fillId="0" borderId="16" xfId="31" applyFont="1" applyBorder="1" applyAlignment="1">
      <alignment horizontal="left" shrinkToFit="1"/>
    </xf>
    <xf numFmtId="3" fontId="20" fillId="0" borderId="199" xfId="28" applyNumberFormat="1" applyFont="1" applyBorder="1" applyAlignment="1">
      <alignment vertical="center" wrapText="1"/>
    </xf>
    <xf numFmtId="3" fontId="20" fillId="0" borderId="14" xfId="28" applyNumberFormat="1" applyFont="1" applyBorder="1" applyAlignment="1">
      <alignment vertical="center" wrapText="1"/>
    </xf>
    <xf numFmtId="0" fontId="17" fillId="0" borderId="90" xfId="31" applyFont="1" applyBorder="1" applyAlignment="1">
      <alignment horizontal="center" vertical="center" wrapText="1"/>
    </xf>
    <xf numFmtId="3" fontId="17" fillId="0" borderId="122" xfId="28" applyNumberFormat="1" applyFont="1" applyBorder="1" applyAlignment="1">
      <alignment horizontal="right" vertical="center" wrapText="1"/>
    </xf>
    <xf numFmtId="3" fontId="20" fillId="0" borderId="15" xfId="28" applyNumberFormat="1" applyFont="1" applyBorder="1" applyAlignment="1">
      <alignment vertical="center" wrapText="1"/>
    </xf>
    <xf numFmtId="3" fontId="20" fillId="0" borderId="16" xfId="28" applyNumberFormat="1" applyFont="1" applyBorder="1" applyAlignment="1">
      <alignment vertical="center" wrapText="1"/>
    </xf>
    <xf numFmtId="3" fontId="20" fillId="0" borderId="37" xfId="28" applyNumberFormat="1" applyFont="1" applyBorder="1" applyAlignment="1">
      <alignment horizontal="right" vertical="center" wrapText="1"/>
    </xf>
    <xf numFmtId="3" fontId="20" fillId="0" borderId="16" xfId="28" applyNumberFormat="1" applyFont="1" applyBorder="1" applyAlignment="1">
      <alignment horizontal="right" vertical="center" wrapText="1"/>
    </xf>
    <xf numFmtId="3" fontId="20" fillId="0" borderId="182" xfId="28" applyNumberFormat="1" applyFont="1" applyBorder="1" applyAlignment="1">
      <alignment horizontal="right" vertical="center" wrapText="1"/>
    </xf>
    <xf numFmtId="3" fontId="20" fillId="0" borderId="200" xfId="28" applyNumberFormat="1" applyFont="1" applyBorder="1" applyAlignment="1">
      <alignment horizontal="right" vertical="center" wrapText="1"/>
    </xf>
    <xf numFmtId="3" fontId="20" fillId="0" borderId="111" xfId="28" applyNumberFormat="1" applyFont="1" applyBorder="1" applyAlignment="1">
      <alignment horizontal="right" vertical="center" wrapText="1"/>
    </xf>
    <xf numFmtId="3" fontId="20" fillId="0" borderId="136" xfId="28" applyNumberFormat="1" applyFont="1" applyBorder="1" applyAlignment="1">
      <alignment horizontal="right" vertical="center" wrapText="1"/>
    </xf>
    <xf numFmtId="3" fontId="20" fillId="0" borderId="128" xfId="28" applyNumberFormat="1" applyFont="1" applyBorder="1" applyAlignment="1">
      <alignment horizontal="right" vertical="center" wrapText="1"/>
    </xf>
    <xf numFmtId="3" fontId="17" fillId="0" borderId="118" xfId="28" applyNumberFormat="1" applyFont="1" applyBorder="1" applyAlignment="1">
      <alignment horizontal="right" vertical="center" wrapText="1"/>
    </xf>
    <xf numFmtId="3" fontId="20" fillId="0" borderId="23" xfId="28" applyNumberFormat="1" applyFont="1" applyBorder="1" applyAlignment="1">
      <alignment vertical="center" wrapText="1"/>
    </xf>
    <xf numFmtId="3" fontId="20" fillId="0" borderId="21" xfId="28" applyNumberFormat="1" applyFont="1" applyBorder="1" applyAlignment="1">
      <alignment vertical="center" wrapText="1"/>
    </xf>
    <xf numFmtId="3" fontId="17" fillId="0" borderId="87" xfId="28" applyNumberFormat="1" applyFont="1" applyBorder="1" applyAlignment="1">
      <alignment horizontal="right" vertical="center" wrapText="1"/>
    </xf>
    <xf numFmtId="3" fontId="17" fillId="0" borderId="14" xfId="28" applyNumberFormat="1" applyFont="1" applyBorder="1" applyAlignment="1">
      <alignment horizontal="right" vertical="center" wrapText="1"/>
    </xf>
    <xf numFmtId="3" fontId="17" fillId="0" borderId="201" xfId="31" applyNumberFormat="1" applyFont="1" applyBorder="1" applyAlignment="1">
      <alignment horizontal="right" vertical="center"/>
    </xf>
    <xf numFmtId="3" fontId="20" fillId="0" borderId="202" xfId="28" applyNumberFormat="1" applyFont="1" applyBorder="1" applyAlignment="1">
      <alignment vertical="center" wrapText="1"/>
    </xf>
    <xf numFmtId="3" fontId="20" fillId="0" borderId="82" xfId="28" applyNumberFormat="1" applyFont="1" applyBorder="1" applyAlignment="1">
      <alignment vertical="center" wrapText="1"/>
    </xf>
    <xf numFmtId="3" fontId="33" fillId="0" borderId="194" xfId="27" applyNumberFormat="1" applyFont="1" applyBorder="1" applyAlignment="1">
      <alignment wrapText="1"/>
    </xf>
    <xf numFmtId="3" fontId="33" fillId="0" borderId="82" xfId="27" applyNumberFormat="1" applyFont="1" applyBorder="1" applyAlignment="1">
      <alignment wrapText="1"/>
    </xf>
    <xf numFmtId="3" fontId="37" fillId="0" borderId="54" xfId="31" applyNumberFormat="1" applyFont="1" applyBorder="1" applyAlignment="1">
      <alignment horizontal="right"/>
    </xf>
    <xf numFmtId="3" fontId="37" fillId="0" borderId="21" xfId="31" applyNumberFormat="1" applyFont="1" applyBorder="1" applyAlignment="1">
      <alignment horizontal="right"/>
    </xf>
    <xf numFmtId="3" fontId="38" fillId="0" borderId="21" xfId="31" applyNumberFormat="1" applyFont="1" applyBorder="1" applyAlignment="1">
      <alignment horizontal="right"/>
    </xf>
    <xf numFmtId="3" fontId="37" fillId="0" borderId="128" xfId="31" applyNumberFormat="1" applyFont="1" applyBorder="1" applyAlignment="1">
      <alignment horizontal="right"/>
    </xf>
    <xf numFmtId="3" fontId="38" fillId="0" borderId="86" xfId="31" applyNumberFormat="1" applyFont="1" applyBorder="1" applyAlignment="1">
      <alignment horizontal="right"/>
    </xf>
    <xf numFmtId="3" fontId="37" fillId="0" borderId="109" xfId="31" applyNumberFormat="1" applyFont="1" applyBorder="1" applyAlignment="1">
      <alignment horizontal="right"/>
    </xf>
    <xf numFmtId="0" fontId="10" fillId="0" borderId="86" xfId="28" applyFont="1" applyBorder="1" applyAlignment="1">
      <alignment wrapText="1"/>
    </xf>
    <xf numFmtId="0" fontId="50" fillId="0" borderId="16" xfId="31" applyFont="1" applyBorder="1" applyAlignment="1">
      <alignment wrapText="1"/>
    </xf>
    <xf numFmtId="3" fontId="20" fillId="0" borderId="38" xfId="30" applyNumberFormat="1" applyFont="1" applyBorder="1" applyAlignment="1">
      <alignment wrapText="1"/>
    </xf>
    <xf numFmtId="3" fontId="20" fillId="0" borderId="33" xfId="30" applyNumberFormat="1" applyFont="1" applyBorder="1" applyAlignment="1">
      <alignment wrapText="1"/>
    </xf>
    <xf numFmtId="0" fontId="12" fillId="0" borderId="93" xfId="31" applyFont="1" applyBorder="1" applyAlignment="1">
      <alignment horizontal="center"/>
    </xf>
    <xf numFmtId="3" fontId="10" fillId="0" borderId="94" xfId="31" applyNumberFormat="1" applyFont="1" applyBorder="1" applyAlignment="1">
      <alignment horizontal="right"/>
    </xf>
    <xf numFmtId="3" fontId="37" fillId="0" borderId="182" xfId="31" applyNumberFormat="1" applyFont="1" applyBorder="1" applyAlignment="1">
      <alignment horizontal="right"/>
    </xf>
    <xf numFmtId="3" fontId="10" fillId="0" borderId="16" xfId="28" applyNumberFormat="1" applyFont="1" applyBorder="1" applyAlignment="1">
      <alignment horizontal="right" vertical="top"/>
    </xf>
    <xf numFmtId="3" fontId="10" fillId="0" borderId="94" xfId="31" applyNumberFormat="1" applyFont="1" applyBorder="1" applyAlignment="1">
      <alignment horizontal="right" vertical="top"/>
    </xf>
    <xf numFmtId="3" fontId="17" fillId="0" borderId="132" xfId="0" applyNumberFormat="1" applyFont="1" applyBorder="1" applyAlignment="1">
      <alignment horizontal="center" vertical="center" wrapText="1"/>
    </xf>
    <xf numFmtId="1" fontId="10" fillId="0" borderId="0" xfId="27" applyNumberFormat="1" applyFont="1" applyAlignment="1">
      <alignment horizontal="center" vertical="center"/>
    </xf>
    <xf numFmtId="3" fontId="10" fillId="0" borderId="0" xfId="27" applyNumberFormat="1" applyFont="1"/>
    <xf numFmtId="3" fontId="10" fillId="0" borderId="0" xfId="27" applyNumberFormat="1" applyFont="1" applyAlignment="1">
      <alignment horizontal="right"/>
    </xf>
    <xf numFmtId="3" fontId="12" fillId="0" borderId="0" xfId="27" applyNumberFormat="1" applyFont="1" applyAlignment="1">
      <alignment horizontal="center"/>
    </xf>
    <xf numFmtId="3" fontId="12" fillId="0" borderId="0" xfId="27" applyNumberFormat="1" applyFont="1" applyAlignment="1">
      <alignment horizontal="center" vertical="center"/>
    </xf>
    <xf numFmtId="3" fontId="10" fillId="0" borderId="0" xfId="27" applyNumberFormat="1" applyFont="1" applyAlignment="1">
      <alignment vertical="center"/>
    </xf>
    <xf numFmtId="1" fontId="17" fillId="0" borderId="0" xfId="27" applyNumberFormat="1" applyFont="1" applyAlignment="1">
      <alignment horizontal="center" vertical="center"/>
    </xf>
    <xf numFmtId="3" fontId="17" fillId="0" borderId="0" xfId="27" applyNumberFormat="1" applyFont="1" applyAlignment="1">
      <alignment horizontal="center"/>
    </xf>
    <xf numFmtId="3" fontId="17" fillId="0" borderId="0" xfId="27" applyNumberFormat="1" applyFont="1" applyAlignment="1">
      <alignment horizontal="center" vertical="top"/>
    </xf>
    <xf numFmtId="0" fontId="20" fillId="0" borderId="0" xfId="27" applyFont="1" applyAlignment="1">
      <alignment vertical="top" wrapText="1"/>
    </xf>
    <xf numFmtId="3" fontId="17" fillId="0" borderId="0" xfId="27" applyNumberFormat="1" applyFont="1"/>
    <xf numFmtId="0" fontId="17" fillId="0" borderId="0" xfId="27" applyFont="1" applyAlignment="1">
      <alignment horizontal="center"/>
    </xf>
    <xf numFmtId="3" fontId="20" fillId="0" borderId="0" xfId="27" applyNumberFormat="1" applyFont="1"/>
    <xf numFmtId="3" fontId="17" fillId="0" borderId="0" xfId="27" applyNumberFormat="1" applyFont="1" applyAlignment="1">
      <alignment horizontal="right"/>
    </xf>
    <xf numFmtId="1" fontId="14" fillId="0" borderId="0" xfId="27" applyNumberFormat="1" applyFont="1" applyAlignment="1">
      <alignment horizontal="center" vertical="center"/>
    </xf>
    <xf numFmtId="3" fontId="14" fillId="0" borderId="0" xfId="27" applyNumberFormat="1" applyFont="1" applyAlignment="1">
      <alignment horizontal="center" vertical="center"/>
    </xf>
    <xf numFmtId="3" fontId="14" fillId="0" borderId="0" xfId="27" applyNumberFormat="1" applyFont="1" applyAlignment="1">
      <alignment horizontal="center" vertical="center" wrapText="1"/>
    </xf>
    <xf numFmtId="3" fontId="14" fillId="0" borderId="0" xfId="27" applyNumberFormat="1" applyFont="1" applyAlignment="1">
      <alignment horizontal="center"/>
    </xf>
    <xf numFmtId="1" fontId="25" fillId="0" borderId="0" xfId="27" applyNumberFormat="1" applyFont="1" applyAlignment="1">
      <alignment horizontal="center" vertical="center"/>
    </xf>
    <xf numFmtId="3" fontId="17" fillId="0" borderId="26" xfId="0" applyNumberFormat="1" applyFont="1" applyBorder="1" applyAlignment="1">
      <alignment horizontal="center" vertical="center" wrapText="1"/>
    </xf>
    <xf numFmtId="3" fontId="17" fillId="0" borderId="141" xfId="27" applyNumberFormat="1" applyFont="1" applyBorder="1" applyAlignment="1">
      <alignment horizontal="center"/>
    </xf>
    <xf numFmtId="0" fontId="20" fillId="0" borderId="33" xfId="27" applyFont="1" applyBorder="1" applyAlignment="1">
      <alignment horizontal="center" vertical="center" wrapText="1"/>
    </xf>
    <xf numFmtId="3" fontId="17" fillId="0" borderId="33" xfId="27" applyNumberFormat="1" applyFont="1" applyBorder="1" applyAlignment="1">
      <alignment horizontal="center" vertical="center" wrapText="1"/>
    </xf>
    <xf numFmtId="0" fontId="17" fillId="0" borderId="97" xfId="0" applyFont="1" applyBorder="1" applyAlignment="1">
      <alignment horizontal="center" vertical="center" textRotation="90" wrapText="1"/>
    </xf>
    <xf numFmtId="3" fontId="20" fillId="0" borderId="33" xfId="27" applyNumberFormat="1" applyFont="1" applyBorder="1" applyAlignment="1">
      <alignment horizontal="center" vertical="center" wrapText="1"/>
    </xf>
    <xf numFmtId="3" fontId="17" fillId="0" borderId="33" xfId="0" applyNumberFormat="1" applyFont="1" applyBorder="1" applyAlignment="1">
      <alignment horizontal="center" vertical="center" wrapText="1"/>
    </xf>
    <xf numFmtId="3" fontId="17" fillId="0" borderId="34" xfId="0" applyNumberFormat="1" applyFont="1" applyBorder="1" applyAlignment="1">
      <alignment horizontal="center" vertical="center" wrapText="1"/>
    </xf>
    <xf numFmtId="3" fontId="17" fillId="0" borderId="192" xfId="27" applyNumberFormat="1" applyFont="1" applyBorder="1" applyAlignment="1">
      <alignment horizontal="center"/>
    </xf>
    <xf numFmtId="3" fontId="17" fillId="0" borderId="21" xfId="27" applyNumberFormat="1" applyFont="1" applyBorder="1" applyAlignment="1">
      <alignment horizontal="center"/>
    </xf>
    <xf numFmtId="3" fontId="20" fillId="0" borderId="21" xfId="27" applyNumberFormat="1" applyFont="1" applyBorder="1" applyAlignment="1">
      <alignment wrapText="1"/>
    </xf>
    <xf numFmtId="3" fontId="17" fillId="0" borderId="21" xfId="27" applyNumberFormat="1" applyFont="1" applyBorder="1" applyAlignment="1">
      <alignment horizontal="right"/>
    </xf>
    <xf numFmtId="3" fontId="17" fillId="0" borderId="50" xfId="27" applyNumberFormat="1" applyFont="1" applyBorder="1" applyAlignment="1">
      <alignment horizontal="center"/>
    </xf>
    <xf numFmtId="3" fontId="20" fillId="0" borderId="54" xfId="27" applyNumberFormat="1" applyFont="1" applyBorder="1" applyAlignment="1">
      <alignment horizontal="right"/>
    </xf>
    <xf numFmtId="3" fontId="17" fillId="0" borderId="21" xfId="0" applyNumberFormat="1" applyFont="1" applyBorder="1" applyAlignment="1">
      <alignment horizontal="right" wrapText="1"/>
    </xf>
    <xf numFmtId="3" fontId="17" fillId="0" borderId="24" xfId="0" applyNumberFormat="1" applyFont="1" applyBorder="1" applyAlignment="1">
      <alignment horizontal="right" wrapText="1"/>
    </xf>
    <xf numFmtId="3" fontId="10" fillId="0" borderId="0" xfId="27" applyNumberFormat="1" applyFont="1" applyAlignment="1">
      <alignment horizontal="center"/>
    </xf>
    <xf numFmtId="3" fontId="17" fillId="0" borderId="93" xfId="27" applyNumberFormat="1" applyFont="1" applyBorder="1" applyAlignment="1">
      <alignment horizontal="center" vertical="center"/>
    </xf>
    <xf numFmtId="3" fontId="17" fillId="0" borderId="16" xfId="27" applyNumberFormat="1" applyFont="1" applyBorder="1" applyAlignment="1">
      <alignment horizontal="center" vertical="center"/>
    </xf>
    <xf numFmtId="3" fontId="17" fillId="0" borderId="16" xfId="27" applyNumberFormat="1" applyFont="1" applyBorder="1" applyAlignment="1">
      <alignment horizontal="right"/>
    </xf>
    <xf numFmtId="3" fontId="17" fillId="0" borderId="20" xfId="27" applyNumberFormat="1" applyFont="1" applyBorder="1" applyAlignment="1">
      <alignment horizontal="right"/>
    </xf>
    <xf numFmtId="3" fontId="17" fillId="0" borderId="37" xfId="27" applyNumberFormat="1" applyFont="1" applyBorder="1" applyAlignment="1">
      <alignment horizontal="center"/>
    </xf>
    <xf numFmtId="3" fontId="33" fillId="0" borderId="86" xfId="27" applyNumberFormat="1" applyFont="1" applyBorder="1" applyAlignment="1">
      <alignment horizontal="right"/>
    </xf>
    <xf numFmtId="3" fontId="41" fillId="0" borderId="16" xfId="0" applyNumberFormat="1" applyFont="1" applyBorder="1" applyAlignment="1">
      <alignment horizontal="right" wrapText="1"/>
    </xf>
    <xf numFmtId="3" fontId="33" fillId="0" borderId="16" xfId="0" applyNumberFormat="1" applyFont="1" applyBorder="1" applyAlignment="1">
      <alignment horizontal="right" wrapText="1"/>
    </xf>
    <xf numFmtId="3" fontId="41" fillId="0" borderId="17" xfId="0" applyNumberFormat="1" applyFont="1" applyBorder="1" applyAlignment="1">
      <alignment horizontal="right" wrapText="1"/>
    </xf>
    <xf numFmtId="3" fontId="10" fillId="0" borderId="0" xfId="27" applyNumberFormat="1" applyFont="1" applyAlignment="1">
      <alignment horizontal="center" vertical="center"/>
    </xf>
    <xf numFmtId="3" fontId="17" fillId="0" borderId="93" xfId="27" applyNumberFormat="1" applyFont="1" applyBorder="1" applyAlignment="1">
      <alignment horizontal="center"/>
    </xf>
    <xf numFmtId="3" fontId="17" fillId="0" borderId="16" xfId="27" applyNumberFormat="1" applyFont="1" applyBorder="1" applyAlignment="1">
      <alignment horizontal="center"/>
    </xf>
    <xf numFmtId="3" fontId="20" fillId="0" borderId="16" xfId="27" applyNumberFormat="1" applyFont="1" applyBorder="1" applyAlignment="1">
      <alignment wrapText="1"/>
    </xf>
    <xf numFmtId="3" fontId="33" fillId="0" borderId="54" xfId="27" applyNumberFormat="1" applyFont="1" applyBorder="1" applyAlignment="1">
      <alignment horizontal="right"/>
    </xf>
    <xf numFmtId="3" fontId="41" fillId="0" borderId="21" xfId="0" applyNumberFormat="1" applyFont="1" applyBorder="1" applyAlignment="1">
      <alignment horizontal="right" wrapText="1"/>
    </xf>
    <xf numFmtId="3" fontId="41" fillId="0" borderId="24" xfId="0" applyNumberFormat="1" applyFont="1" applyBorder="1" applyAlignment="1">
      <alignment horizontal="right" wrapText="1"/>
    </xf>
    <xf numFmtId="3" fontId="33" fillId="0" borderId="17" xfId="0" applyNumberFormat="1" applyFont="1" applyBorder="1" applyAlignment="1">
      <alignment horizontal="right" wrapText="1"/>
    </xf>
    <xf numFmtId="3" fontId="33" fillId="0" borderId="86" xfId="27" applyNumberFormat="1" applyFont="1" applyBorder="1" applyAlignment="1">
      <alignment horizontal="right" vertical="center"/>
    </xf>
    <xf numFmtId="3" fontId="41" fillId="0" borderId="16" xfId="0" applyNumberFormat="1" applyFont="1" applyBorder="1" applyAlignment="1">
      <alignment horizontal="right" vertical="center" wrapText="1"/>
    </xf>
    <xf numFmtId="3" fontId="41" fillId="0" borderId="17" xfId="0" applyNumberFormat="1" applyFont="1" applyBorder="1" applyAlignment="1">
      <alignment horizontal="right" vertical="center" wrapText="1"/>
    </xf>
    <xf numFmtId="3" fontId="33" fillId="0" borderId="16" xfId="0" applyNumberFormat="1" applyFont="1" applyBorder="1" applyAlignment="1">
      <alignment horizontal="right" vertical="center" wrapText="1"/>
    </xf>
    <xf numFmtId="3" fontId="33" fillId="0" borderId="17" xfId="0" applyNumberFormat="1" applyFont="1" applyBorder="1" applyAlignment="1">
      <alignment horizontal="right" vertical="center" wrapText="1"/>
    </xf>
    <xf numFmtId="3" fontId="10" fillId="0" borderId="16" xfId="27" applyNumberFormat="1" applyFont="1" applyBorder="1" applyAlignment="1">
      <alignment horizontal="center" vertical="center"/>
    </xf>
    <xf numFmtId="3" fontId="33" fillId="0" borderId="93" xfId="27" applyNumberFormat="1" applyFont="1" applyBorder="1" applyAlignment="1">
      <alignment horizontal="center" vertical="center"/>
    </xf>
    <xf numFmtId="3" fontId="33" fillId="0" borderId="16" xfId="27" applyNumberFormat="1" applyFont="1" applyBorder="1" applyAlignment="1">
      <alignment horizontal="center" vertical="center"/>
    </xf>
    <xf numFmtId="3" fontId="41" fillId="0" borderId="16" xfId="27" applyNumberFormat="1" applyFont="1" applyBorder="1" applyAlignment="1">
      <alignment horizontal="right"/>
    </xf>
    <xf numFmtId="3" fontId="33" fillId="0" borderId="37" xfId="27" applyNumberFormat="1" applyFont="1" applyBorder="1" applyAlignment="1">
      <alignment horizontal="center"/>
    </xf>
    <xf numFmtId="3" fontId="37" fillId="0" borderId="0" xfId="27" applyNumberFormat="1" applyFont="1" applyAlignment="1">
      <alignment horizontal="center" vertical="center"/>
    </xf>
    <xf numFmtId="3" fontId="19" fillId="0" borderId="93" xfId="27" applyNumberFormat="1" applyFont="1" applyBorder="1" applyAlignment="1">
      <alignment horizontal="center" vertical="center"/>
    </xf>
    <xf numFmtId="3" fontId="17" fillId="0" borderId="16" xfId="27" applyNumberFormat="1" applyFont="1" applyBorder="1" applyAlignment="1">
      <alignment horizontal="center" vertical="top"/>
    </xf>
    <xf numFmtId="3" fontId="19" fillId="0" borderId="37" xfId="27" applyNumberFormat="1" applyFont="1" applyBorder="1" applyAlignment="1">
      <alignment horizontal="center"/>
    </xf>
    <xf numFmtId="3" fontId="34" fillId="0" borderId="86" xfId="27" applyNumberFormat="1" applyFont="1" applyBorder="1" applyAlignment="1">
      <alignment horizontal="right"/>
    </xf>
    <xf numFmtId="3" fontId="42" fillId="0" borderId="16" xfId="0" applyNumberFormat="1" applyFont="1" applyBorder="1" applyAlignment="1">
      <alignment horizontal="right" wrapText="1"/>
    </xf>
    <xf numFmtId="3" fontId="42" fillId="0" borderId="17" xfId="0" applyNumberFormat="1" applyFont="1" applyBorder="1" applyAlignment="1">
      <alignment horizontal="right" wrapText="1"/>
    </xf>
    <xf numFmtId="3" fontId="13" fillId="0" borderId="0" xfId="27" applyNumberFormat="1" applyFont="1" applyAlignment="1">
      <alignment horizontal="center" vertical="center"/>
    </xf>
    <xf numFmtId="3" fontId="42" fillId="0" borderId="86" xfId="27" applyNumberFormat="1" applyFont="1" applyBorder="1" applyAlignment="1">
      <alignment horizontal="right"/>
    </xf>
    <xf numFmtId="3" fontId="34" fillId="0" borderId="86" xfId="27" applyNumberFormat="1" applyFont="1" applyBorder="1" applyAlignment="1">
      <alignment horizontal="right" vertical="center"/>
    </xf>
    <xf numFmtId="3" fontId="42" fillId="0" borderId="16" xfId="0" applyNumberFormat="1" applyFont="1" applyBorder="1" applyAlignment="1">
      <alignment horizontal="right" vertical="center" wrapText="1"/>
    </xf>
    <xf numFmtId="3" fontId="42" fillId="0" borderId="17" xfId="0" applyNumberFormat="1" applyFont="1" applyBorder="1" applyAlignment="1">
      <alignment horizontal="right" vertical="center" wrapText="1"/>
    </xf>
    <xf numFmtId="3" fontId="19" fillId="0" borderId="16" xfId="27" applyNumberFormat="1" applyFont="1" applyBorder="1" applyAlignment="1">
      <alignment vertical="center" wrapText="1"/>
    </xf>
    <xf numFmtId="3" fontId="34" fillId="0" borderId="21" xfId="27" applyNumberFormat="1" applyFont="1" applyBorder="1" applyAlignment="1">
      <alignment horizontal="left" vertical="top" wrapText="1" indent="4"/>
    </xf>
    <xf numFmtId="3" fontId="34" fillId="0" borderId="93" xfId="27" applyNumberFormat="1" applyFont="1" applyBorder="1" applyAlignment="1">
      <alignment horizontal="center" vertical="center"/>
    </xf>
    <xf numFmtId="3" fontId="34" fillId="0" borderId="16" xfId="0" applyNumberFormat="1" applyFont="1" applyBorder="1" applyAlignment="1">
      <alignment horizontal="right" wrapText="1"/>
    </xf>
    <xf numFmtId="3" fontId="40" fillId="0" borderId="0" xfId="27" applyNumberFormat="1" applyFont="1" applyAlignment="1">
      <alignment horizontal="center" vertical="center"/>
    </xf>
    <xf numFmtId="3" fontId="34" fillId="0" borderId="37" xfId="27" applyNumberFormat="1" applyFont="1" applyBorder="1" applyAlignment="1">
      <alignment horizontal="center"/>
    </xf>
    <xf numFmtId="3" fontId="19" fillId="0" borderId="16" xfId="27" applyNumberFormat="1" applyFont="1" applyBorder="1" applyAlignment="1">
      <alignment horizontal="left" wrapText="1"/>
    </xf>
    <xf numFmtId="3" fontId="19" fillId="0" borderId="16" xfId="27" applyNumberFormat="1" applyFont="1" applyBorder="1" applyAlignment="1">
      <alignment horizontal="left" wrapText="1" indent="3"/>
    </xf>
    <xf numFmtId="3" fontId="17" fillId="0" borderId="192" xfId="27" applyNumberFormat="1" applyFont="1" applyBorder="1" applyAlignment="1">
      <alignment horizontal="center" vertical="center"/>
    </xf>
    <xf numFmtId="3" fontId="33" fillId="0" borderId="24" xfId="0" applyNumberFormat="1" applyFont="1" applyBorder="1" applyAlignment="1">
      <alignment horizontal="right" wrapText="1"/>
    </xf>
    <xf numFmtId="3" fontId="23" fillId="0" borderId="192" xfId="27" applyNumberFormat="1" applyFont="1" applyBorder="1" applyAlignment="1">
      <alignment horizontal="center"/>
    </xf>
    <xf numFmtId="3" fontId="24" fillId="0" borderId="0" xfId="27" applyNumberFormat="1" applyFont="1" applyAlignment="1">
      <alignment horizontal="center" vertical="center"/>
    </xf>
    <xf numFmtId="3" fontId="24" fillId="0" borderId="0" xfId="27" applyNumberFormat="1" applyFont="1" applyAlignment="1">
      <alignment horizontal="center"/>
    </xf>
    <xf numFmtId="3" fontId="20" fillId="0" borderId="93" xfId="27" applyNumberFormat="1" applyFont="1" applyBorder="1" applyAlignment="1">
      <alignment horizontal="center"/>
    </xf>
    <xf numFmtId="3" fontId="19" fillId="0" borderId="0" xfId="27" applyNumberFormat="1" applyFont="1" applyAlignment="1">
      <alignment horizontal="center" vertical="center"/>
    </xf>
    <xf numFmtId="3" fontId="17" fillId="0" borderId="0" xfId="27" applyNumberFormat="1" applyFont="1" applyAlignment="1">
      <alignment horizontal="center" vertical="center"/>
    </xf>
    <xf numFmtId="3" fontId="34" fillId="0" borderId="0" xfId="27" applyNumberFormat="1" applyFont="1" applyAlignment="1">
      <alignment horizontal="center" vertical="center"/>
    </xf>
    <xf numFmtId="3" fontId="33" fillId="0" borderId="0" xfId="27" applyNumberFormat="1" applyFont="1" applyAlignment="1">
      <alignment horizontal="center" vertical="center"/>
    </xf>
    <xf numFmtId="3" fontId="42" fillId="0" borderId="86" xfId="27" applyNumberFormat="1" applyFont="1" applyBorder="1" applyAlignment="1">
      <alignment horizontal="right" vertical="center"/>
    </xf>
    <xf numFmtId="3" fontId="19" fillId="0" borderId="21" xfId="27" applyNumberFormat="1" applyFont="1" applyBorder="1" applyAlignment="1">
      <alignment horizontal="left" vertical="top" wrapText="1" indent="4"/>
    </xf>
    <xf numFmtId="3" fontId="23" fillId="0" borderId="93" xfId="27" applyNumberFormat="1" applyFont="1" applyBorder="1" applyAlignment="1">
      <alignment horizontal="center" vertical="center"/>
    </xf>
    <xf numFmtId="3" fontId="20" fillId="0" borderId="93" xfId="27" applyNumberFormat="1" applyFont="1" applyBorder="1" applyAlignment="1">
      <alignment horizontal="center" vertical="center"/>
    </xf>
    <xf numFmtId="3" fontId="33" fillId="0" borderId="50" xfId="27" applyNumberFormat="1" applyFont="1" applyBorder="1" applyAlignment="1">
      <alignment horizontal="center"/>
    </xf>
    <xf numFmtId="3" fontId="34" fillId="0" borderId="17" xfId="0" applyNumberFormat="1" applyFont="1" applyBorder="1" applyAlignment="1">
      <alignment horizontal="right" wrapText="1"/>
    </xf>
    <xf numFmtId="3" fontId="33" fillId="0" borderId="192" xfId="27" applyNumberFormat="1" applyFont="1" applyBorder="1" applyAlignment="1">
      <alignment horizontal="center" vertical="center"/>
    </xf>
    <xf numFmtId="3" fontId="41" fillId="0" borderId="21" xfId="27" applyNumberFormat="1" applyFont="1" applyBorder="1" applyAlignment="1">
      <alignment horizontal="right"/>
    </xf>
    <xf numFmtId="3" fontId="33" fillId="0" borderId="21" xfId="0" applyNumberFormat="1" applyFont="1" applyBorder="1" applyAlignment="1">
      <alignment horizontal="right" wrapText="1"/>
    </xf>
    <xf numFmtId="3" fontId="17" fillId="0" borderId="16" xfId="27" applyNumberFormat="1" applyFont="1" applyBorder="1"/>
    <xf numFmtId="3" fontId="19" fillId="0" borderId="16" xfId="27" applyNumberFormat="1" applyFont="1" applyBorder="1" applyAlignment="1">
      <alignment horizontal="left" wrapText="1" indent="2"/>
    </xf>
    <xf numFmtId="3" fontId="33" fillId="0" borderId="21" xfId="27" applyNumberFormat="1" applyFont="1" applyBorder="1" applyAlignment="1">
      <alignment horizontal="left" wrapText="1" indent="2"/>
    </xf>
    <xf numFmtId="3" fontId="28" fillId="0" borderId="16" xfId="27" applyNumberFormat="1" applyFont="1" applyBorder="1" applyAlignment="1">
      <alignment wrapText="1"/>
    </xf>
    <xf numFmtId="3" fontId="20" fillId="0" borderId="16" xfId="27" applyNumberFormat="1" applyFont="1" applyBorder="1" applyAlignment="1">
      <alignment horizontal="left" wrapText="1"/>
    </xf>
    <xf numFmtId="3" fontId="17" fillId="0" borderId="93" xfId="27" applyNumberFormat="1" applyFont="1" applyBorder="1" applyAlignment="1">
      <alignment horizontal="center" vertical="top"/>
    </xf>
    <xf numFmtId="3" fontId="34" fillId="0" borderId="21" xfId="27" applyNumberFormat="1" applyFont="1" applyBorder="1" applyAlignment="1">
      <alignment horizontal="left" wrapText="1" indent="4"/>
    </xf>
    <xf numFmtId="49" fontId="19" fillId="0" borderId="16" xfId="27" applyNumberFormat="1" applyFont="1" applyBorder="1" applyAlignment="1">
      <alignment horizontal="left" vertical="center" wrapText="1" indent="4"/>
    </xf>
    <xf numFmtId="3" fontId="17" fillId="0" borderId="94" xfId="27" applyNumberFormat="1" applyFont="1" applyBorder="1" applyAlignment="1">
      <alignment horizontal="right"/>
    </xf>
    <xf numFmtId="3" fontId="33" fillId="0" borderId="94" xfId="27" applyNumberFormat="1" applyFont="1" applyBorder="1" applyAlignment="1">
      <alignment horizontal="right"/>
    </xf>
    <xf numFmtId="3" fontId="34" fillId="0" borderId="182" xfId="0" applyNumberFormat="1" applyFont="1" applyBorder="1" applyAlignment="1">
      <alignment horizontal="right" wrapText="1"/>
    </xf>
    <xf numFmtId="3" fontId="17" fillId="0" borderId="94" xfId="27" applyNumberFormat="1" applyFont="1" applyBorder="1" applyAlignment="1">
      <alignment horizontal="center"/>
    </xf>
    <xf numFmtId="3" fontId="33" fillId="0" borderId="16" xfId="27" applyNumberFormat="1" applyFont="1" applyBorder="1" applyAlignment="1">
      <alignment horizontal="center"/>
    </xf>
    <xf numFmtId="3" fontId="37" fillId="0" borderId="0" xfId="27" applyNumberFormat="1" applyFont="1" applyAlignment="1">
      <alignment horizontal="center"/>
    </xf>
    <xf numFmtId="3" fontId="10" fillId="0" borderId="93" xfId="27" applyNumberFormat="1" applyFont="1" applyBorder="1" applyAlignment="1">
      <alignment horizontal="center"/>
    </xf>
    <xf numFmtId="3" fontId="10" fillId="0" borderId="37" xfId="27" applyNumberFormat="1" applyFont="1" applyBorder="1" applyAlignment="1">
      <alignment horizontal="center"/>
    </xf>
    <xf numFmtId="3" fontId="37" fillId="0" borderId="86" xfId="27" applyNumberFormat="1" applyFont="1" applyBorder="1"/>
    <xf numFmtId="3" fontId="38" fillId="0" borderId="16" xfId="27" applyNumberFormat="1" applyFont="1" applyBorder="1"/>
    <xf numFmtId="3" fontId="38" fillId="0" borderId="17" xfId="27" applyNumberFormat="1" applyFont="1" applyBorder="1"/>
    <xf numFmtId="3" fontId="33" fillId="0" borderId="16" xfId="27" applyNumberFormat="1" applyFont="1" applyBorder="1"/>
    <xf numFmtId="3" fontId="37" fillId="0" borderId="16" xfId="27" applyNumberFormat="1" applyFont="1" applyBorder="1"/>
    <xf numFmtId="3" fontId="37" fillId="0" borderId="17" xfId="27" applyNumberFormat="1" applyFont="1" applyBorder="1"/>
    <xf numFmtId="3" fontId="17" fillId="0" borderId="16" xfId="27" applyNumberFormat="1" applyFont="1" applyBorder="1" applyAlignment="1">
      <alignment shrinkToFit="1"/>
    </xf>
    <xf numFmtId="0" fontId="20" fillId="0" borderId="20" xfId="28" applyFont="1" applyBorder="1" applyAlignment="1">
      <alignment horizontal="left"/>
    </xf>
    <xf numFmtId="3" fontId="33" fillId="0" borderId="16" xfId="27" applyNumberFormat="1" applyFont="1" applyBorder="1" applyAlignment="1">
      <alignment horizontal="right"/>
    </xf>
    <xf numFmtId="3" fontId="42" fillId="0" borderId="86" xfId="0" applyNumberFormat="1" applyFont="1" applyBorder="1" applyAlignment="1">
      <alignment horizontal="right" wrapText="1"/>
    </xf>
    <xf numFmtId="3" fontId="33" fillId="0" borderId="86" xfId="0" applyNumberFormat="1" applyFont="1" applyBorder="1" applyAlignment="1">
      <alignment horizontal="right" wrapText="1"/>
    </xf>
    <xf numFmtId="3" fontId="33" fillId="0" borderId="182" xfId="0" applyNumberFormat="1" applyFont="1" applyBorder="1" applyAlignment="1">
      <alignment horizontal="right" wrapText="1"/>
    </xf>
    <xf numFmtId="3" fontId="33" fillId="0" borderId="20" xfId="27" applyNumberFormat="1" applyFont="1" applyBorder="1" applyAlignment="1">
      <alignment wrapText="1"/>
    </xf>
    <xf numFmtId="3" fontId="17" fillId="0" borderId="21" xfId="27" applyNumberFormat="1" applyFont="1" applyBorder="1" applyAlignment="1">
      <alignment wrapText="1"/>
    </xf>
    <xf numFmtId="3" fontId="19" fillId="0" borderId="192" xfId="27" applyNumberFormat="1" applyFont="1" applyBorder="1" applyAlignment="1">
      <alignment horizontal="center" vertical="center"/>
    </xf>
    <xf numFmtId="3" fontId="42" fillId="0" borderId="21" xfId="0" applyNumberFormat="1" applyFont="1" applyBorder="1" applyAlignment="1">
      <alignment horizontal="right" wrapText="1"/>
    </xf>
    <xf numFmtId="3" fontId="42" fillId="0" borderId="24" xfId="0" applyNumberFormat="1" applyFont="1" applyBorder="1" applyAlignment="1">
      <alignment horizontal="right" wrapText="1"/>
    </xf>
    <xf numFmtId="3" fontId="17" fillId="0" borderId="16" xfId="27" applyNumberFormat="1" applyFont="1" applyBorder="1" applyAlignment="1">
      <alignment wrapText="1"/>
    </xf>
    <xf numFmtId="3" fontId="17" fillId="0" borderId="190" xfId="27" applyNumberFormat="1" applyFont="1" applyBorder="1" applyAlignment="1">
      <alignment horizontal="center"/>
    </xf>
    <xf numFmtId="3" fontId="20" fillId="0" borderId="35" xfId="27" applyNumberFormat="1" applyFont="1" applyBorder="1" applyAlignment="1">
      <alignment wrapText="1"/>
    </xf>
    <xf numFmtId="3" fontId="17" fillId="0" borderId="94" xfId="27" applyNumberFormat="1" applyFont="1" applyBorder="1" applyAlignment="1">
      <alignment horizontal="center" vertical="top"/>
    </xf>
    <xf numFmtId="3" fontId="20" fillId="0" borderId="20" xfId="27" applyNumberFormat="1" applyFont="1" applyBorder="1" applyAlignment="1">
      <alignment wrapText="1"/>
    </xf>
    <xf numFmtId="3" fontId="41" fillId="0" borderId="86" xfId="0" applyNumberFormat="1" applyFont="1" applyBorder="1" applyAlignment="1">
      <alignment horizontal="right" wrapText="1"/>
    </xf>
    <xf numFmtId="3" fontId="17" fillId="0" borderId="86" xfId="27" applyNumberFormat="1" applyFont="1" applyBorder="1" applyAlignment="1">
      <alignment horizontal="center"/>
    </xf>
    <xf numFmtId="3" fontId="19" fillId="0" borderId="15" xfId="27" applyNumberFormat="1" applyFont="1" applyBorder="1" applyAlignment="1">
      <alignment horizontal="center" vertical="center"/>
    </xf>
    <xf numFmtId="3" fontId="19" fillId="0" borderId="4" xfId="27" applyNumberFormat="1" applyFont="1" applyBorder="1" applyAlignment="1">
      <alignment horizontal="center" vertical="center"/>
    </xf>
    <xf numFmtId="3" fontId="17" fillId="0" borderId="52" xfId="27" applyNumberFormat="1" applyFont="1" applyBorder="1" applyAlignment="1">
      <alignment horizontal="center" vertical="top"/>
    </xf>
    <xf numFmtId="3" fontId="42" fillId="0" borderId="53" xfId="0" applyNumberFormat="1" applyFont="1" applyBorder="1" applyAlignment="1">
      <alignment horizontal="right" wrapText="1"/>
    </xf>
    <xf numFmtId="3" fontId="33" fillId="0" borderId="53" xfId="0" applyNumberFormat="1" applyFont="1" applyBorder="1" applyAlignment="1">
      <alignment horizontal="right" wrapText="1"/>
    </xf>
    <xf numFmtId="3" fontId="33" fillId="0" borderId="18" xfId="0" applyNumberFormat="1" applyFont="1" applyBorder="1" applyAlignment="1">
      <alignment horizontal="right" wrapText="1"/>
    </xf>
    <xf numFmtId="3" fontId="51" fillId="0" borderId="82" xfId="27" applyNumberFormat="1" applyFont="1" applyBorder="1" applyAlignment="1">
      <alignment wrapText="1"/>
    </xf>
    <xf numFmtId="3" fontId="20" fillId="0" borderId="199" xfId="27" applyNumberFormat="1" applyFont="1" applyBorder="1" applyAlignment="1">
      <alignment horizontal="center" vertical="center"/>
    </xf>
    <xf numFmtId="3" fontId="17" fillId="0" borderId="14" xfId="27" applyNumberFormat="1" applyFont="1" applyBorder="1" applyAlignment="1">
      <alignment horizontal="center" vertical="center" wrapText="1"/>
    </xf>
    <xf numFmtId="3" fontId="17" fillId="0" borderId="90" xfId="27" applyNumberFormat="1" applyFont="1" applyBorder="1" applyAlignment="1">
      <alignment horizontal="center"/>
    </xf>
    <xf numFmtId="3" fontId="33" fillId="0" borderId="87" xfId="0" applyNumberFormat="1" applyFont="1" applyBorder="1" applyAlignment="1">
      <alignment vertical="center"/>
    </xf>
    <xf numFmtId="3" fontId="33" fillId="0" borderId="185" xfId="0" applyNumberFormat="1" applyFont="1" applyBorder="1" applyAlignment="1">
      <alignment vertical="center"/>
    </xf>
    <xf numFmtId="3" fontId="17" fillId="0" borderId="192" xfId="0" applyNumberFormat="1" applyFont="1" applyBorder="1" applyAlignment="1">
      <alignment horizontal="center" wrapText="1"/>
    </xf>
    <xf numFmtId="3" fontId="17" fillId="0" borderId="21" xfId="0" applyNumberFormat="1" applyFont="1" applyBorder="1" applyAlignment="1">
      <alignment horizontal="center" wrapText="1"/>
    </xf>
    <xf numFmtId="3" fontId="17" fillId="0" borderId="50" xfId="0" applyNumberFormat="1" applyFont="1" applyBorder="1" applyAlignment="1">
      <alignment horizontal="center" wrapText="1"/>
    </xf>
    <xf numFmtId="3" fontId="33" fillId="0" borderId="54" xfId="0" applyNumberFormat="1" applyFont="1" applyBorder="1" applyAlignment="1">
      <alignment horizontal="right"/>
    </xf>
    <xf numFmtId="3" fontId="41" fillId="0" borderId="0" xfId="0" applyNumberFormat="1" applyFont="1" applyAlignment="1">
      <alignment horizontal="right" wrapText="1"/>
    </xf>
    <xf numFmtId="3" fontId="17" fillId="0" borderId="118" xfId="0" applyNumberFormat="1" applyFont="1" applyBorder="1" applyAlignment="1">
      <alignment horizontal="center" wrapText="1"/>
    </xf>
    <xf numFmtId="1" fontId="25" fillId="0" borderId="0" xfId="27" applyNumberFormat="1" applyFont="1" applyAlignment="1">
      <alignment horizontal="left" vertical="center"/>
    </xf>
    <xf numFmtId="3" fontId="18" fillId="0" borderId="0" xfId="0" applyNumberFormat="1" applyFont="1"/>
    <xf numFmtId="3" fontId="14" fillId="0" borderId="0" xfId="0" applyNumberFormat="1" applyFont="1" applyAlignment="1">
      <alignment vertical="top"/>
    </xf>
    <xf numFmtId="3" fontId="10" fillId="0" borderId="0" xfId="27" applyNumberFormat="1" applyFont="1" applyAlignment="1">
      <alignment horizontal="center" vertical="top"/>
    </xf>
    <xf numFmtId="3" fontId="10" fillId="0" borderId="0" xfId="27" applyNumberFormat="1" applyFont="1" applyAlignment="1">
      <alignment vertical="top" wrapText="1"/>
    </xf>
    <xf numFmtId="3" fontId="12" fillId="0" borderId="0" xfId="27" applyNumberFormat="1" applyFont="1"/>
    <xf numFmtId="3" fontId="12" fillId="0" borderId="0" xfId="27" applyNumberFormat="1" applyFont="1" applyAlignment="1">
      <alignment vertical="top" wrapText="1"/>
    </xf>
    <xf numFmtId="3" fontId="10" fillId="0" borderId="0" xfId="27" applyNumberFormat="1" applyFont="1" applyAlignment="1">
      <alignment horizontal="center" vertical="top" wrapText="1"/>
    </xf>
    <xf numFmtId="3" fontId="10" fillId="0" borderId="0" xfId="0" applyNumberFormat="1" applyFont="1" applyAlignment="1">
      <alignment horizontal="left" vertical="center"/>
    </xf>
    <xf numFmtId="0" fontId="10" fillId="0" borderId="0" xfId="32" applyFont="1" applyAlignment="1" applyProtection="1">
      <alignment horizontal="left" vertical="center"/>
      <protection locked="0"/>
    </xf>
    <xf numFmtId="49" fontId="10" fillId="0" borderId="72" xfId="0" applyNumberFormat="1" applyFont="1" applyBorder="1" applyAlignment="1">
      <alignment horizontal="center" vertical="top"/>
    </xf>
    <xf numFmtId="3" fontId="12" fillId="0" borderId="205" xfId="0" applyNumberFormat="1" applyFont="1" applyBorder="1" applyAlignment="1">
      <alignment horizontal="right" vertical="center"/>
    </xf>
    <xf numFmtId="3" fontId="12" fillId="0" borderId="204" xfId="0" applyNumberFormat="1" applyFont="1" applyBorder="1" applyAlignment="1">
      <alignment horizontal="right" vertical="center"/>
    </xf>
    <xf numFmtId="0" fontId="10" fillId="0" borderId="35" xfId="31" applyFont="1" applyBorder="1" applyAlignment="1">
      <alignment horizontal="center"/>
    </xf>
    <xf numFmtId="0" fontId="48" fillId="0" borderId="16" xfId="28" applyFont="1" applyBorder="1"/>
    <xf numFmtId="0" fontId="10" fillId="0" borderId="94" xfId="28" applyFont="1" applyBorder="1"/>
    <xf numFmtId="49" fontId="14" fillId="0" borderId="0" xfId="26" applyNumberFormat="1" applyFont="1" applyAlignment="1">
      <alignment horizontal="center"/>
    </xf>
    <xf numFmtId="3" fontId="14" fillId="0" borderId="6" xfId="26" applyNumberFormat="1" applyFont="1" applyBorder="1" applyAlignment="1">
      <alignment horizontal="center"/>
    </xf>
    <xf numFmtId="3" fontId="19" fillId="0" borderId="0" xfId="26" applyNumberFormat="1" applyFont="1" applyAlignment="1">
      <alignment horizontal="right"/>
    </xf>
    <xf numFmtId="3" fontId="12" fillId="0" borderId="0" xfId="26" applyNumberFormat="1" applyFont="1" applyAlignment="1">
      <alignment horizontal="center" vertical="center"/>
    </xf>
    <xf numFmtId="3" fontId="33" fillId="0" borderId="22" xfId="0" applyNumberFormat="1" applyFont="1" applyBorder="1" applyAlignment="1">
      <alignment horizontal="center"/>
    </xf>
    <xf numFmtId="3" fontId="33" fillId="0" borderId="104" xfId="0" applyNumberFormat="1" applyFont="1" applyBorder="1" applyAlignment="1">
      <alignment horizontal="center"/>
    </xf>
    <xf numFmtId="3" fontId="33" fillId="0" borderId="21" xfId="0" applyNumberFormat="1" applyFont="1" applyBorder="1"/>
    <xf numFmtId="3" fontId="33" fillId="0" borderId="128" xfId="0" applyNumberFormat="1" applyFont="1" applyBorder="1"/>
    <xf numFmtId="3" fontId="34" fillId="0" borderId="24" xfId="0" applyNumberFormat="1" applyFont="1" applyBorder="1"/>
    <xf numFmtId="3" fontId="33" fillId="0" borderId="23" xfId="0" applyNumberFormat="1" applyFont="1" applyBorder="1" applyAlignment="1">
      <alignment horizontal="center" vertical="top"/>
    </xf>
    <xf numFmtId="3" fontId="33" fillId="0" borderId="52" xfId="0" applyNumberFormat="1" applyFont="1" applyBorder="1" applyAlignment="1">
      <alignment horizontal="center"/>
    </xf>
    <xf numFmtId="3" fontId="33" fillId="0" borderId="52" xfId="0" applyNumberFormat="1" applyFont="1" applyBorder="1"/>
    <xf numFmtId="3" fontId="33" fillId="0" borderId="134" xfId="0" applyNumberFormat="1" applyFont="1" applyBorder="1"/>
    <xf numFmtId="3" fontId="33" fillId="0" borderId="191" xfId="0" applyNumberFormat="1" applyFont="1" applyBorder="1" applyAlignment="1">
      <alignment horizontal="center"/>
    </xf>
    <xf numFmtId="3" fontId="33" fillId="0" borderId="95" xfId="0" applyNumberFormat="1" applyFont="1" applyBorder="1" applyAlignment="1">
      <alignment horizontal="center"/>
    </xf>
    <xf numFmtId="3" fontId="33" fillId="0" borderId="183" xfId="0" applyNumberFormat="1" applyFont="1" applyBorder="1" applyAlignment="1">
      <alignment horizontal="center"/>
    </xf>
    <xf numFmtId="3" fontId="33" fillId="0" borderId="23" xfId="0" applyNumberFormat="1" applyFont="1" applyBorder="1" applyAlignment="1">
      <alignment horizontal="center" vertical="center"/>
    </xf>
    <xf numFmtId="3" fontId="33" fillId="0" borderId="120" xfId="0" applyNumberFormat="1" applyFont="1" applyBorder="1" applyAlignment="1">
      <alignment horizontal="center"/>
    </xf>
    <xf numFmtId="3" fontId="33" fillId="0" borderId="20" xfId="0" applyNumberFormat="1" applyFont="1" applyBorder="1" applyAlignment="1">
      <alignment horizontal="center"/>
    </xf>
    <xf numFmtId="3" fontId="33" fillId="0" borderId="36" xfId="0" applyNumberFormat="1" applyFont="1" applyBorder="1"/>
    <xf numFmtId="3" fontId="33" fillId="0" borderId="4" xfId="0" applyNumberFormat="1" applyFont="1" applyBorder="1" applyAlignment="1">
      <alignment horizontal="center" vertical="center"/>
    </xf>
    <xf numFmtId="3" fontId="33" fillId="0" borderId="93" xfId="0" applyNumberFormat="1" applyFont="1" applyBorder="1" applyAlignment="1">
      <alignment horizontal="center" vertical="center"/>
    </xf>
    <xf numFmtId="3" fontId="33" fillId="0" borderId="209" xfId="0" applyNumberFormat="1" applyFont="1" applyBorder="1" applyAlignment="1">
      <alignment horizontal="center"/>
    </xf>
    <xf numFmtId="3" fontId="33" fillId="0" borderId="210" xfId="0" applyNumberFormat="1" applyFont="1" applyBorder="1" applyAlignment="1">
      <alignment horizontal="center" vertical="center"/>
    </xf>
    <xf numFmtId="3" fontId="33" fillId="0" borderId="21" xfId="0" applyNumberFormat="1" applyFont="1" applyBorder="1" applyAlignment="1">
      <alignment horizontal="center"/>
    </xf>
    <xf numFmtId="3" fontId="33" fillId="0" borderId="35" xfId="30" applyNumberFormat="1" applyFont="1" applyBorder="1" applyAlignment="1">
      <alignment horizontal="left"/>
    </xf>
    <xf numFmtId="3" fontId="0" fillId="0" borderId="16" xfId="0" applyNumberFormat="1" applyBorder="1"/>
    <xf numFmtId="3" fontId="0" fillId="0" borderId="111" xfId="0" applyNumberFormat="1" applyBorder="1"/>
    <xf numFmtId="0" fontId="0" fillId="0" borderId="15" xfId="0" applyBorder="1"/>
    <xf numFmtId="0" fontId="0" fillId="0" borderId="117" xfId="0" applyBorder="1"/>
    <xf numFmtId="0" fontId="0" fillId="0" borderId="118" xfId="0" applyBorder="1"/>
    <xf numFmtId="0" fontId="0" fillId="0" borderId="136" xfId="0" applyBorder="1"/>
    <xf numFmtId="3" fontId="33" fillId="0" borderId="14" xfId="0" applyNumberFormat="1" applyFont="1" applyBorder="1" applyAlignment="1">
      <alignment horizontal="center"/>
    </xf>
    <xf numFmtId="3" fontId="33" fillId="0" borderId="140" xfId="0" applyNumberFormat="1" applyFont="1" applyBorder="1" applyAlignment="1">
      <alignment horizontal="center"/>
    </xf>
    <xf numFmtId="3" fontId="33" fillId="0" borderId="14" xfId="0" applyNumberFormat="1" applyFont="1" applyBorder="1"/>
    <xf numFmtId="3" fontId="33" fillId="0" borderId="122" xfId="0" applyNumberFormat="1" applyFont="1" applyBorder="1"/>
    <xf numFmtId="0" fontId="19" fillId="0" borderId="20" xfId="28" applyFont="1" applyBorder="1" applyAlignment="1">
      <alignment horizontal="left"/>
    </xf>
    <xf numFmtId="3" fontId="20" fillId="0" borderId="82" xfId="30" applyNumberFormat="1" applyFont="1" applyBorder="1"/>
    <xf numFmtId="0" fontId="19" fillId="0" borderId="22" xfId="28" applyFont="1" applyBorder="1" applyAlignment="1">
      <alignment horizontal="left"/>
    </xf>
    <xf numFmtId="3" fontId="19" fillId="0" borderId="86" xfId="0" applyNumberFormat="1" applyFont="1" applyBorder="1"/>
    <xf numFmtId="3" fontId="20" fillId="0" borderId="86" xfId="0" applyNumberFormat="1" applyFont="1" applyBorder="1"/>
    <xf numFmtId="3" fontId="20" fillId="0" borderId="21" xfId="0" applyNumberFormat="1" applyFont="1" applyBorder="1"/>
    <xf numFmtId="3" fontId="20" fillId="0" borderId="191" xfId="0" applyNumberFormat="1" applyFont="1" applyBorder="1"/>
    <xf numFmtId="3" fontId="20" fillId="0" borderId="102" xfId="0" applyNumberFormat="1" applyFont="1" applyBorder="1"/>
    <xf numFmtId="3" fontId="20" fillId="0" borderId="82" xfId="0" applyNumberFormat="1" applyFont="1" applyBorder="1"/>
    <xf numFmtId="3" fontId="20" fillId="0" borderId="101" xfId="0" applyNumberFormat="1" applyFont="1" applyBorder="1"/>
    <xf numFmtId="3" fontId="20" fillId="0" borderId="52" xfId="0" applyNumberFormat="1" applyFont="1" applyBorder="1"/>
    <xf numFmtId="3" fontId="20" fillId="0" borderId="17" xfId="0" applyNumberFormat="1" applyFont="1" applyBorder="1"/>
    <xf numFmtId="3" fontId="20" fillId="0" borderId="207" xfId="0" applyNumberFormat="1" applyFont="1" applyBorder="1"/>
    <xf numFmtId="3" fontId="20" fillId="0" borderId="114" xfId="0" applyNumberFormat="1" applyFont="1" applyBorder="1"/>
    <xf numFmtId="3" fontId="20" fillId="0" borderId="206" xfId="0" applyNumberFormat="1" applyFont="1" applyBorder="1"/>
    <xf numFmtId="3" fontId="19" fillId="0" borderId="182" xfId="0" applyNumberFormat="1" applyFont="1" applyBorder="1"/>
    <xf numFmtId="3" fontId="20" fillId="0" borderId="118" xfId="30" applyNumberFormat="1" applyFont="1" applyBorder="1"/>
    <xf numFmtId="3" fontId="20" fillId="0" borderId="119" xfId="0" applyNumberFormat="1" applyFont="1" applyBorder="1"/>
    <xf numFmtId="3" fontId="20" fillId="0" borderId="200" xfId="0" applyNumberFormat="1" applyFont="1" applyBorder="1"/>
    <xf numFmtId="3" fontId="13" fillId="0" borderId="31" xfId="26" applyNumberFormat="1" applyFont="1" applyBorder="1" applyAlignment="1">
      <alignment horizontal="center" vertical="center"/>
    </xf>
    <xf numFmtId="3" fontId="12" fillId="0" borderId="211" xfId="26" applyNumberFormat="1" applyFont="1" applyBorder="1" applyAlignment="1">
      <alignment horizontal="center" vertical="center" wrapText="1"/>
    </xf>
    <xf numFmtId="3" fontId="12" fillId="0" borderId="212" xfId="26" applyNumberFormat="1" applyFont="1" applyBorder="1" applyAlignment="1">
      <alignment horizontal="center" vertical="center" wrapText="1"/>
    </xf>
    <xf numFmtId="3" fontId="12" fillId="0" borderId="213" xfId="26" applyNumberFormat="1" applyFont="1" applyBorder="1" applyAlignment="1">
      <alignment horizontal="right" wrapText="1"/>
    </xf>
    <xf numFmtId="3" fontId="12" fillId="0" borderId="60" xfId="26" applyNumberFormat="1" applyFont="1" applyBorder="1" applyAlignment="1">
      <alignment horizontal="right" wrapText="1"/>
    </xf>
    <xf numFmtId="3" fontId="12" fillId="0" borderId="60" xfId="0" applyNumberFormat="1" applyFont="1" applyBorder="1" applyAlignment="1">
      <alignment horizontal="right"/>
    </xf>
    <xf numFmtId="3" fontId="10" fillId="0" borderId="60" xfId="0" applyNumberFormat="1" applyFont="1" applyBorder="1" applyAlignment="1">
      <alignment horizontal="right"/>
    </xf>
    <xf numFmtId="3" fontId="10" fillId="0" borderId="60" xfId="0" applyNumberFormat="1" applyFont="1" applyBorder="1" applyAlignment="1">
      <alignment horizontal="right" vertical="center"/>
    </xf>
    <xf numFmtId="3" fontId="10" fillId="0" borderId="60" xfId="0" applyNumberFormat="1" applyFont="1" applyBorder="1" applyAlignment="1">
      <alignment horizontal="right" vertical="top"/>
    </xf>
    <xf numFmtId="3" fontId="24" fillId="0" borderId="60" xfId="0" applyNumberFormat="1" applyFont="1" applyBorder="1" applyAlignment="1">
      <alignment horizontal="right"/>
    </xf>
    <xf numFmtId="3" fontId="12" fillId="0" borderId="73" xfId="0" applyNumberFormat="1" applyFont="1" applyBorder="1" applyAlignment="1">
      <alignment horizontal="right"/>
    </xf>
    <xf numFmtId="3" fontId="12" fillId="0" borderId="62" xfId="0" applyNumberFormat="1" applyFont="1" applyBorder="1" applyAlignment="1">
      <alignment horizontal="right" vertical="center"/>
    </xf>
    <xf numFmtId="3" fontId="10" fillId="0" borderId="73" xfId="0" applyNumberFormat="1" applyFont="1" applyBorder="1" applyAlignment="1">
      <alignment horizontal="right"/>
    </xf>
    <xf numFmtId="3" fontId="12" fillId="0" borderId="65" xfId="0" applyNumberFormat="1" applyFont="1" applyBorder="1" applyAlignment="1">
      <alignment horizontal="right" vertical="center"/>
    </xf>
    <xf numFmtId="3" fontId="12" fillId="0" borderId="214" xfId="0" applyNumberFormat="1" applyFont="1" applyBorder="1" applyAlignment="1">
      <alignment horizontal="right" vertical="center"/>
    </xf>
    <xf numFmtId="3" fontId="12" fillId="0" borderId="60" xfId="0" applyNumberFormat="1" applyFont="1" applyBorder="1" applyAlignment="1">
      <alignment horizontal="right" vertical="center"/>
    </xf>
    <xf numFmtId="3" fontId="12" fillId="0" borderId="215" xfId="0" applyNumberFormat="1" applyFont="1" applyBorder="1" applyAlignment="1">
      <alignment horizontal="right" vertical="center"/>
    </xf>
    <xf numFmtId="3" fontId="12" fillId="0" borderId="0" xfId="26" applyNumberFormat="1" applyFont="1" applyAlignment="1">
      <alignment horizontal="right" wrapText="1"/>
    </xf>
    <xf numFmtId="3" fontId="24" fillId="0" borderId="0" xfId="0" applyNumberFormat="1" applyFont="1" applyAlignment="1">
      <alignment horizontal="right"/>
    </xf>
    <xf numFmtId="3" fontId="12" fillId="0" borderId="165" xfId="26" applyNumberFormat="1" applyFont="1" applyBorder="1" applyAlignment="1">
      <alignment horizontal="right" wrapText="1"/>
    </xf>
    <xf numFmtId="3" fontId="10" fillId="0" borderId="0" xfId="26" applyNumberFormat="1" applyFont="1" applyAlignment="1">
      <alignment horizontal="center" wrapText="1"/>
    </xf>
    <xf numFmtId="3" fontId="12" fillId="0" borderId="0" xfId="26" applyNumberFormat="1" applyFont="1" applyAlignment="1">
      <alignment horizontal="left" wrapText="1"/>
    </xf>
    <xf numFmtId="3" fontId="12" fillId="0" borderId="18" xfId="26" applyNumberFormat="1" applyFont="1" applyBorder="1" applyAlignment="1">
      <alignment horizontal="right" wrapText="1"/>
    </xf>
    <xf numFmtId="0" fontId="12" fillId="0" borderId="0" xfId="0" applyFont="1" applyAlignment="1">
      <alignment horizontal="left"/>
    </xf>
    <xf numFmtId="3" fontId="12" fillId="0" borderId="0" xfId="0" applyNumberFormat="1" applyFont="1"/>
    <xf numFmtId="3" fontId="12" fillId="0" borderId="18" xfId="0" applyNumberFormat="1" applyFont="1" applyBorder="1" applyAlignment="1">
      <alignment horizontal="right"/>
    </xf>
    <xf numFmtId="0" fontId="10" fillId="0" borderId="0" xfId="0" applyFont="1" applyAlignment="1">
      <alignment horizontal="center" vertical="top"/>
    </xf>
    <xf numFmtId="0" fontId="10" fillId="0" borderId="0" xfId="0" applyFont="1" applyAlignment="1">
      <alignment horizontal="left" wrapText="1" indent="1"/>
    </xf>
    <xf numFmtId="3" fontId="10" fillId="0" borderId="18" xfId="0" applyNumberFormat="1" applyFont="1" applyBorder="1"/>
    <xf numFmtId="3" fontId="10" fillId="0" borderId="0" xfId="0" applyNumberFormat="1" applyFont="1" applyAlignment="1">
      <alignment vertical="top"/>
    </xf>
    <xf numFmtId="0" fontId="12" fillId="0" borderId="0" xfId="0" applyFont="1" applyAlignment="1">
      <alignment horizontal="left" wrapText="1"/>
    </xf>
    <xf numFmtId="3" fontId="12" fillId="0" borderId="18" xfId="0" applyNumberFormat="1" applyFont="1" applyBorder="1"/>
    <xf numFmtId="3" fontId="10" fillId="0" borderId="0" xfId="26" applyNumberFormat="1" applyFont="1" applyAlignment="1">
      <alignment horizontal="center" vertical="top" wrapText="1"/>
    </xf>
    <xf numFmtId="0" fontId="24" fillId="0" borderId="0" xfId="0" applyFont="1" applyAlignment="1">
      <alignment horizontal="left" wrapText="1"/>
    </xf>
    <xf numFmtId="3" fontId="24" fillId="0" borderId="0" xfId="0" applyNumberFormat="1" applyFont="1"/>
    <xf numFmtId="3" fontId="24" fillId="0" borderId="18" xfId="0" applyNumberFormat="1" applyFont="1" applyBorder="1" applyAlignment="1">
      <alignment horizontal="right"/>
    </xf>
    <xf numFmtId="0" fontId="12" fillId="0" borderId="18" xfId="0" applyFont="1" applyBorder="1"/>
    <xf numFmtId="3" fontId="12" fillId="0" borderId="166" xfId="26" applyNumberFormat="1" applyFont="1" applyBorder="1" applyAlignment="1">
      <alignment horizontal="right" wrapText="1"/>
    </xf>
    <xf numFmtId="0" fontId="10" fillId="0" borderId="0" xfId="0" applyFont="1" applyAlignment="1">
      <alignment horizontal="left" wrapText="1"/>
    </xf>
    <xf numFmtId="0" fontId="10" fillId="0" borderId="18" xfId="0" applyFont="1" applyBorder="1"/>
    <xf numFmtId="0" fontId="12" fillId="0" borderId="0" xfId="0" applyFont="1" applyAlignment="1">
      <alignment horizontal="center" vertical="top"/>
    </xf>
    <xf numFmtId="0" fontId="12" fillId="0" borderId="0" xfId="0" applyFont="1" applyAlignment="1">
      <alignment vertical="top" wrapText="1"/>
    </xf>
    <xf numFmtId="3" fontId="12" fillId="0" borderId="166" xfId="0" applyNumberFormat="1" applyFont="1" applyBorder="1" applyAlignment="1">
      <alignment horizontal="right" vertical="center"/>
    </xf>
    <xf numFmtId="3" fontId="12" fillId="0" borderId="216" xfId="0" applyNumberFormat="1" applyFont="1" applyBorder="1" applyAlignment="1">
      <alignment horizontal="right" vertical="center"/>
    </xf>
    <xf numFmtId="3" fontId="12" fillId="0" borderId="217" xfId="0" applyNumberFormat="1" applyFont="1" applyBorder="1" applyAlignment="1">
      <alignment horizontal="right" vertical="center"/>
    </xf>
    <xf numFmtId="3" fontId="12" fillId="0" borderId="0" xfId="0" applyNumberFormat="1" applyFont="1" applyAlignment="1">
      <alignment vertical="center"/>
    </xf>
    <xf numFmtId="3" fontId="12" fillId="0" borderId="18" xfId="0" applyNumberFormat="1" applyFont="1" applyBorder="1" applyAlignment="1">
      <alignment horizontal="right" vertical="center"/>
    </xf>
    <xf numFmtId="0" fontId="10" fillId="0" borderId="0" xfId="0" applyFont="1" applyAlignment="1">
      <alignment horizontal="left" indent="1"/>
    </xf>
    <xf numFmtId="3" fontId="12" fillId="0" borderId="18" xfId="0" applyNumberFormat="1" applyFont="1" applyBorder="1" applyAlignment="1">
      <alignment vertical="center"/>
    </xf>
    <xf numFmtId="0" fontId="10" fillId="0" borderId="91" xfId="0" applyFont="1" applyBorder="1"/>
    <xf numFmtId="3" fontId="12" fillId="0" borderId="167" xfId="0" applyNumberFormat="1" applyFont="1" applyBorder="1" applyAlignment="1">
      <alignment horizontal="right" vertical="center"/>
    </xf>
    <xf numFmtId="3" fontId="12" fillId="0" borderId="213" xfId="26" applyNumberFormat="1" applyFont="1" applyBorder="1"/>
    <xf numFmtId="3" fontId="10" fillId="0" borderId="60" xfId="26" applyNumberFormat="1" applyFont="1" applyBorder="1"/>
    <xf numFmtId="3" fontId="12" fillId="0" borderId="62" xfId="26" applyNumberFormat="1" applyFont="1" applyBorder="1"/>
    <xf numFmtId="3" fontId="12" fillId="0" borderId="60" xfId="26" applyNumberFormat="1" applyFont="1" applyBorder="1"/>
    <xf numFmtId="3" fontId="13" fillId="0" borderId="60" xfId="26" applyNumberFormat="1" applyFont="1" applyBorder="1"/>
    <xf numFmtId="3" fontId="10" fillId="0" borderId="60" xfId="26" applyNumberFormat="1" applyFont="1" applyBorder="1" applyAlignment="1">
      <alignment vertical="center"/>
    </xf>
    <xf numFmtId="3" fontId="12" fillId="0" borderId="60" xfId="26" applyNumberFormat="1" applyFont="1" applyBorder="1" applyAlignment="1">
      <alignment vertical="center"/>
    </xf>
    <xf numFmtId="3" fontId="12" fillId="0" borderId="212" xfId="26" applyNumberFormat="1" applyFont="1" applyBorder="1" applyAlignment="1">
      <alignment vertical="center"/>
    </xf>
    <xf numFmtId="3" fontId="10" fillId="0" borderId="60" xfId="26" applyNumberFormat="1" applyFont="1" applyBorder="1" applyAlignment="1">
      <alignment vertical="top"/>
    </xf>
    <xf numFmtId="3" fontId="12" fillId="0" borderId="165" xfId="26" applyNumberFormat="1" applyFont="1" applyBorder="1"/>
    <xf numFmtId="3" fontId="10" fillId="0" borderId="18" xfId="26" applyNumberFormat="1" applyFont="1" applyBorder="1"/>
    <xf numFmtId="3" fontId="12" fillId="0" borderId="166" xfId="26" applyNumberFormat="1" applyFont="1" applyBorder="1"/>
    <xf numFmtId="3" fontId="12" fillId="0" borderId="18" xfId="26" applyNumberFormat="1" applyFont="1" applyBorder="1"/>
    <xf numFmtId="3" fontId="13" fillId="0" borderId="18" xfId="26" applyNumberFormat="1" applyFont="1" applyBorder="1"/>
    <xf numFmtId="3" fontId="12" fillId="0" borderId="211" xfId="26" applyNumberFormat="1" applyFont="1" applyBorder="1" applyAlignment="1">
      <alignment vertical="center"/>
    </xf>
    <xf numFmtId="3" fontId="10" fillId="0" borderId="0" xfId="26" applyNumberFormat="1" applyFont="1" applyAlignment="1">
      <alignment horizontal="left" indent="2"/>
    </xf>
    <xf numFmtId="3" fontId="13" fillId="0" borderId="0" xfId="26" applyNumberFormat="1" applyFont="1" applyAlignment="1">
      <alignment horizontal="left" indent="2"/>
    </xf>
    <xf numFmtId="3" fontId="10" fillId="0" borderId="0" xfId="26" applyNumberFormat="1" applyFont="1" applyAlignment="1">
      <alignment horizontal="left" indent="3"/>
    </xf>
    <xf numFmtId="3" fontId="13" fillId="0" borderId="0" xfId="26" applyNumberFormat="1" applyFont="1" applyAlignment="1">
      <alignment horizontal="center"/>
    </xf>
    <xf numFmtId="3" fontId="10" fillId="0" borderId="0" xfId="26" applyNumberFormat="1" applyFont="1" applyAlignment="1">
      <alignment horizontal="left" wrapText="1" indent="3"/>
    </xf>
    <xf numFmtId="3" fontId="12" fillId="0" borderId="18" xfId="26" applyNumberFormat="1" applyFont="1" applyBorder="1" applyAlignment="1">
      <alignment vertical="center"/>
    </xf>
    <xf numFmtId="3" fontId="10" fillId="0" borderId="0" xfId="26" applyNumberFormat="1" applyFont="1" applyAlignment="1">
      <alignment wrapText="1"/>
    </xf>
    <xf numFmtId="3" fontId="10" fillId="0" borderId="0" xfId="26" applyNumberFormat="1" applyFont="1" applyAlignment="1">
      <alignment horizontal="left" indent="1"/>
    </xf>
    <xf numFmtId="3" fontId="10" fillId="0" borderId="0" xfId="26" applyNumberFormat="1" applyFont="1" applyAlignment="1">
      <alignment horizontal="center" vertical="top"/>
    </xf>
    <xf numFmtId="3" fontId="10" fillId="0" borderId="0" xfId="26" applyNumberFormat="1" applyFont="1" applyAlignment="1">
      <alignment horizontal="left" vertical="top" indent="1"/>
    </xf>
    <xf numFmtId="3" fontId="10" fillId="0" borderId="18" xfId="26" applyNumberFormat="1" applyFont="1" applyBorder="1" applyAlignment="1">
      <alignment vertical="top"/>
    </xf>
    <xf numFmtId="3" fontId="24" fillId="0" borderId="10" xfId="26" applyNumberFormat="1" applyFont="1" applyBorder="1"/>
    <xf numFmtId="3" fontId="24" fillId="0" borderId="8" xfId="26" applyNumberFormat="1" applyFont="1" applyBorder="1"/>
    <xf numFmtId="3" fontId="24" fillId="0" borderId="0" xfId="26" applyNumberFormat="1" applyFont="1"/>
    <xf numFmtId="3" fontId="13" fillId="0" borderId="0" xfId="26" applyNumberFormat="1" applyFont="1" applyAlignment="1">
      <alignment vertical="center"/>
    </xf>
    <xf numFmtId="3" fontId="24" fillId="0" borderId="12" xfId="26" applyNumberFormat="1" applyFont="1" applyBorder="1" applyAlignment="1">
      <alignment vertical="center"/>
    </xf>
    <xf numFmtId="3" fontId="13" fillId="0" borderId="0" xfId="26" applyNumberFormat="1" applyFont="1" applyAlignment="1">
      <alignment vertical="top"/>
    </xf>
    <xf numFmtId="3" fontId="24" fillId="0" borderId="10" xfId="26" applyNumberFormat="1" applyFont="1" applyBorder="1" applyAlignment="1">
      <alignment horizontal="right" wrapText="1"/>
    </xf>
    <xf numFmtId="3" fontId="24" fillId="0" borderId="0" xfId="26" applyNumberFormat="1" applyFont="1" applyAlignment="1">
      <alignment horizontal="right" wrapText="1"/>
    </xf>
    <xf numFmtId="3" fontId="24" fillId="0" borderId="8" xfId="26" applyNumberFormat="1" applyFont="1" applyBorder="1" applyAlignment="1">
      <alignment horizontal="right" wrapText="1"/>
    </xf>
    <xf numFmtId="3" fontId="24" fillId="0" borderId="8" xfId="0" applyNumberFormat="1" applyFont="1" applyBorder="1" applyAlignment="1">
      <alignment horizontal="right" vertical="center"/>
    </xf>
    <xf numFmtId="3" fontId="24" fillId="0" borderId="27" xfId="0" applyNumberFormat="1" applyFont="1" applyBorder="1" applyAlignment="1">
      <alignment horizontal="right" vertical="center"/>
    </xf>
    <xf numFmtId="3" fontId="24" fillId="0" borderId="28" xfId="0" applyNumberFormat="1" applyFont="1" applyBorder="1" applyAlignment="1">
      <alignment horizontal="right" vertical="center"/>
    </xf>
    <xf numFmtId="3" fontId="24" fillId="0" borderId="0" xfId="0" applyNumberFormat="1" applyFont="1" applyAlignment="1">
      <alignment horizontal="right" vertical="center"/>
    </xf>
    <xf numFmtId="3" fontId="24" fillId="0" borderId="29" xfId="0" applyNumberFormat="1" applyFont="1" applyBorder="1" applyAlignment="1">
      <alignment horizontal="right" vertical="center"/>
    </xf>
    <xf numFmtId="3" fontId="33" fillId="0" borderId="104" xfId="0" applyNumberFormat="1" applyFont="1" applyBorder="1" applyAlignment="1">
      <alignment horizontal="center" vertical="center"/>
    </xf>
    <xf numFmtId="3" fontId="33" fillId="0" borderId="21" xfId="0" applyNumberFormat="1" applyFont="1" applyBorder="1" applyAlignment="1">
      <alignment vertical="center"/>
    </xf>
    <xf numFmtId="3" fontId="33" fillId="0" borderId="21" xfId="0" applyNumberFormat="1" applyFont="1" applyBorder="1" applyAlignment="1">
      <alignment horizontal="right"/>
    </xf>
    <xf numFmtId="3" fontId="33" fillId="0" borderId="24" xfId="0" applyNumberFormat="1" applyFont="1" applyBorder="1" applyAlignment="1">
      <alignment horizontal="right"/>
    </xf>
    <xf numFmtId="3" fontId="33" fillId="0" borderId="52" xfId="0" applyNumberFormat="1" applyFont="1" applyBorder="1" applyAlignment="1">
      <alignment horizontal="right"/>
    </xf>
    <xf numFmtId="3" fontId="33" fillId="0" borderId="206" xfId="0" applyNumberFormat="1" applyFont="1" applyBorder="1" applyAlignment="1">
      <alignment horizontal="right"/>
    </xf>
    <xf numFmtId="3" fontId="33" fillId="0" borderId="191" xfId="0" applyNumberFormat="1" applyFont="1" applyBorder="1" applyAlignment="1">
      <alignment horizontal="center" vertical="center"/>
    </xf>
    <xf numFmtId="3" fontId="33" fillId="0" borderId="208" xfId="0" applyNumberFormat="1" applyFont="1" applyBorder="1" applyAlignment="1">
      <alignment horizontal="center" vertical="center"/>
    </xf>
    <xf numFmtId="3" fontId="33" fillId="0" borderId="191" xfId="0" applyNumberFormat="1" applyFont="1" applyBorder="1" applyAlignment="1">
      <alignment vertical="center"/>
    </xf>
    <xf numFmtId="3" fontId="33" fillId="0" borderId="35" xfId="0" applyNumberFormat="1" applyFont="1" applyBorder="1" applyAlignment="1">
      <alignment horizontal="center" vertical="center"/>
    </xf>
    <xf numFmtId="3" fontId="33" fillId="0" borderId="98" xfId="0" applyNumberFormat="1" applyFont="1" applyBorder="1" applyAlignment="1">
      <alignment horizontal="center" vertical="center"/>
    </xf>
    <xf numFmtId="3" fontId="33" fillId="0" borderId="35" xfId="0" applyNumberFormat="1" applyFont="1" applyBorder="1" applyAlignment="1">
      <alignment vertical="center"/>
    </xf>
    <xf numFmtId="3" fontId="33" fillId="0" borderId="16" xfId="0" applyNumberFormat="1" applyFont="1" applyBorder="1" applyAlignment="1">
      <alignment horizontal="center" vertical="center"/>
    </xf>
    <xf numFmtId="3" fontId="19" fillId="0" borderId="37" xfId="0" applyNumberFormat="1" applyFont="1" applyBorder="1"/>
    <xf numFmtId="3" fontId="20" fillId="0" borderId="16" xfId="0" applyNumberFormat="1" applyFont="1" applyBorder="1" applyAlignment="1">
      <alignment horizontal="right"/>
    </xf>
    <xf numFmtId="3" fontId="20" fillId="0" borderId="191" xfId="0" applyNumberFormat="1" applyFont="1" applyBorder="1" applyAlignment="1">
      <alignment horizontal="right"/>
    </xf>
    <xf numFmtId="3" fontId="20" fillId="0" borderId="23" xfId="0" applyNumberFormat="1" applyFont="1" applyBorder="1" applyAlignment="1">
      <alignment horizontal="center" vertical="center"/>
    </xf>
    <xf numFmtId="3" fontId="20" fillId="0" borderId="53" xfId="0" applyNumberFormat="1" applyFont="1" applyBorder="1" applyAlignment="1">
      <alignment horizontal="center" vertical="center"/>
    </xf>
    <xf numFmtId="3" fontId="20" fillId="0" borderId="52" xfId="0" applyNumberFormat="1" applyFont="1" applyBorder="1" applyAlignment="1">
      <alignment vertical="center"/>
    </xf>
    <xf numFmtId="3" fontId="20" fillId="0" borderId="191" xfId="0" applyNumberFormat="1" applyFont="1" applyBorder="1" applyAlignment="1">
      <alignment horizontal="center" vertical="center"/>
    </xf>
    <xf numFmtId="3" fontId="20" fillId="0" borderId="35" xfId="0" applyNumberFormat="1" applyFont="1" applyBorder="1" applyAlignment="1">
      <alignment horizontal="center" vertical="center"/>
    </xf>
    <xf numFmtId="3" fontId="20" fillId="0" borderId="16" xfId="0" applyNumberFormat="1" applyFont="1" applyBorder="1" applyAlignment="1">
      <alignment horizontal="center" vertical="center"/>
    </xf>
    <xf numFmtId="3" fontId="17" fillId="0" borderId="82" xfId="30" applyNumberFormat="1" applyFont="1" applyBorder="1" applyAlignment="1">
      <alignment horizontal="left"/>
    </xf>
    <xf numFmtId="3" fontId="20" fillId="0" borderId="35" xfId="0" applyNumberFormat="1" applyFont="1" applyBorder="1" applyAlignment="1">
      <alignment horizontal="right"/>
    </xf>
    <xf numFmtId="3" fontId="20" fillId="0" borderId="52" xfId="0" applyNumberFormat="1" applyFont="1" applyBorder="1" applyAlignment="1">
      <alignment horizontal="right"/>
    </xf>
    <xf numFmtId="3" fontId="20" fillId="0" borderId="82" xfId="0" applyNumberFormat="1" applyFont="1" applyBorder="1" applyAlignment="1">
      <alignment horizontal="right"/>
    </xf>
    <xf numFmtId="3" fontId="20" fillId="0" borderId="94" xfId="0" applyNumberFormat="1" applyFont="1" applyBorder="1" applyAlignment="1">
      <alignment horizontal="center" vertical="center"/>
    </xf>
    <xf numFmtId="3" fontId="20" fillId="0" borderId="210" xfId="0" applyNumberFormat="1" applyFont="1" applyBorder="1" applyAlignment="1">
      <alignment horizontal="center" vertical="center"/>
    </xf>
    <xf numFmtId="3" fontId="20" fillId="0" borderId="51" xfId="0" applyNumberFormat="1" applyFont="1" applyBorder="1" applyAlignment="1">
      <alignment horizontal="center" vertical="center"/>
    </xf>
    <xf numFmtId="3" fontId="20" fillId="0" borderId="93" xfId="0" applyNumberFormat="1" applyFont="1" applyBorder="1" applyAlignment="1">
      <alignment horizontal="center" vertical="center"/>
    </xf>
    <xf numFmtId="3" fontId="20" fillId="0" borderId="203" xfId="0" applyNumberFormat="1" applyFont="1" applyBorder="1" applyAlignment="1">
      <alignment horizontal="center" vertical="center"/>
    </xf>
    <xf numFmtId="3" fontId="20" fillId="0" borderId="118" xfId="0" applyNumberFormat="1" applyFont="1" applyBorder="1" applyAlignment="1">
      <alignment horizontal="center" vertical="center"/>
    </xf>
    <xf numFmtId="3" fontId="20" fillId="0" borderId="50" xfId="0" applyNumberFormat="1" applyFont="1" applyBorder="1" applyAlignment="1">
      <alignment vertical="center"/>
    </xf>
    <xf numFmtId="3" fontId="20" fillId="0" borderId="124" xfId="0" applyNumberFormat="1" applyFont="1" applyBorder="1"/>
    <xf numFmtId="3" fontId="20" fillId="0" borderId="118" xfId="0" applyNumberFormat="1" applyFont="1" applyBorder="1" applyAlignment="1">
      <alignment horizontal="right"/>
    </xf>
    <xf numFmtId="3" fontId="20" fillId="0" borderId="21" xfId="0" applyNumberFormat="1" applyFont="1" applyBorder="1" applyAlignment="1">
      <alignment horizontal="left"/>
    </xf>
    <xf numFmtId="3" fontId="33" fillId="0" borderId="192" xfId="0" applyNumberFormat="1" applyFont="1" applyBorder="1" applyAlignment="1">
      <alignment horizontal="center" vertical="center"/>
    </xf>
    <xf numFmtId="3" fontId="33" fillId="0" borderId="52" xfId="30" applyNumberFormat="1" applyFont="1" applyBorder="1" applyAlignment="1">
      <alignment horizontal="center"/>
    </xf>
    <xf numFmtId="3" fontId="33" fillId="0" borderId="52" xfId="0" applyNumberFormat="1" applyFont="1" applyBorder="1" applyAlignment="1">
      <alignment vertical="center"/>
    </xf>
    <xf numFmtId="3" fontId="33" fillId="0" borderId="53" xfId="0" applyNumberFormat="1" applyFont="1" applyBorder="1" applyAlignment="1">
      <alignment horizontal="center"/>
    </xf>
    <xf numFmtId="3" fontId="33" fillId="0" borderId="53" xfId="0" applyNumberFormat="1" applyFont="1" applyBorder="1" applyAlignment="1">
      <alignment horizontal="center" vertical="center"/>
    </xf>
    <xf numFmtId="3" fontId="20" fillId="0" borderId="21" xfId="0" applyNumberFormat="1" applyFont="1" applyBorder="1" applyAlignment="1">
      <alignment horizontal="right"/>
    </xf>
    <xf numFmtId="3" fontId="19" fillId="0" borderId="21" xfId="0" applyNumberFormat="1" applyFont="1" applyBorder="1" applyAlignment="1">
      <alignment horizontal="right"/>
    </xf>
    <xf numFmtId="3" fontId="19" fillId="0" borderId="24" xfId="0" applyNumberFormat="1" applyFont="1" applyBorder="1" applyAlignment="1">
      <alignment horizontal="right"/>
    </xf>
    <xf numFmtId="3" fontId="20" fillId="0" borderId="21" xfId="0" applyNumberFormat="1" applyFont="1" applyBorder="1" applyAlignment="1">
      <alignment horizontal="right" vertical="center"/>
    </xf>
    <xf numFmtId="3" fontId="19" fillId="0" borderId="21" xfId="0" applyNumberFormat="1" applyFont="1" applyBorder="1" applyAlignment="1">
      <alignment horizontal="right" vertical="center"/>
    </xf>
    <xf numFmtId="3" fontId="33" fillId="0" borderId="120" xfId="30" applyNumberFormat="1" applyFont="1" applyBorder="1"/>
    <xf numFmtId="3" fontId="33" fillId="0" borderId="35" xfId="30" applyNumberFormat="1" applyFont="1" applyBorder="1" applyAlignment="1">
      <alignment horizontal="center"/>
    </xf>
    <xf numFmtId="3" fontId="33" fillId="0" borderId="35" xfId="0" applyNumberFormat="1" applyFont="1" applyBorder="1" applyAlignment="1">
      <alignment horizontal="right" vertical="center"/>
    </xf>
    <xf numFmtId="3" fontId="33" fillId="0" borderId="36" xfId="0" applyNumberFormat="1" applyFont="1" applyBorder="1" applyAlignment="1">
      <alignment horizontal="right" vertical="center"/>
    </xf>
    <xf numFmtId="3" fontId="33" fillId="0" borderId="16" xfId="30" applyNumberFormat="1" applyFont="1" applyBorder="1" applyAlignment="1">
      <alignment horizontal="center"/>
    </xf>
    <xf numFmtId="3" fontId="33" fillId="0" borderId="209" xfId="0" applyNumberFormat="1" applyFont="1" applyBorder="1" applyAlignment="1">
      <alignment horizontal="center" vertical="center"/>
    </xf>
    <xf numFmtId="3" fontId="20" fillId="0" borderId="52" xfId="0" applyNumberFormat="1" applyFont="1" applyBorder="1" applyAlignment="1">
      <alignment horizontal="right" vertical="center"/>
    </xf>
    <xf numFmtId="3" fontId="19" fillId="0" borderId="16" xfId="0" applyNumberFormat="1" applyFont="1" applyBorder="1" applyAlignment="1">
      <alignment horizontal="right" vertical="center"/>
    </xf>
    <xf numFmtId="3" fontId="33" fillId="0" borderId="86" xfId="0" applyNumberFormat="1" applyFont="1" applyBorder="1" applyAlignment="1">
      <alignment horizontal="center"/>
    </xf>
    <xf numFmtId="3" fontId="34" fillId="0" borderId="51" xfId="0" applyNumberFormat="1" applyFont="1" applyBorder="1" applyAlignment="1">
      <alignment horizontal="left" vertical="center" wrapText="1"/>
    </xf>
    <xf numFmtId="3" fontId="34" fillId="0" borderId="98" xfId="0" applyNumberFormat="1" applyFont="1" applyBorder="1" applyAlignment="1">
      <alignment horizontal="left" vertical="center" wrapText="1"/>
    </xf>
    <xf numFmtId="3" fontId="34" fillId="0" borderId="35" xfId="0" applyNumberFormat="1" applyFont="1" applyBorder="1" applyAlignment="1">
      <alignment horizontal="left" vertical="center" wrapText="1"/>
    </xf>
    <xf numFmtId="3" fontId="34" fillId="0" borderId="35" xfId="0" applyNumberFormat="1" applyFont="1" applyBorder="1" applyAlignment="1">
      <alignment horizontal="right" vertical="center"/>
    </xf>
    <xf numFmtId="0" fontId="19" fillId="0" borderId="16" xfId="28" applyFont="1" applyBorder="1" applyAlignment="1">
      <alignment horizontal="left"/>
    </xf>
    <xf numFmtId="3" fontId="20" fillId="0" borderId="207" xfId="0" applyNumberFormat="1" applyFont="1" applyBorder="1" applyAlignment="1">
      <alignment horizontal="right"/>
    </xf>
    <xf numFmtId="3" fontId="20" fillId="0" borderId="114" xfId="0" applyNumberFormat="1" applyFont="1" applyBorder="1" applyAlignment="1">
      <alignment horizontal="right"/>
    </xf>
    <xf numFmtId="3" fontId="20" fillId="0" borderId="206" xfId="0" applyNumberFormat="1" applyFont="1" applyBorder="1" applyAlignment="1">
      <alignment horizontal="right"/>
    </xf>
    <xf numFmtId="3" fontId="19" fillId="0" borderId="17" xfId="0" applyNumberFormat="1" applyFont="1" applyBorder="1" applyAlignment="1">
      <alignment horizontal="right" vertical="center"/>
    </xf>
    <xf numFmtId="3" fontId="20" fillId="0" borderId="206" xfId="0" applyNumberFormat="1" applyFont="1" applyBorder="1" applyAlignment="1">
      <alignment horizontal="right" vertical="center"/>
    </xf>
    <xf numFmtId="3" fontId="17" fillId="0" borderId="190" xfId="31" applyNumberFormat="1" applyFont="1" applyBorder="1" applyAlignment="1" applyProtection="1">
      <alignment horizontal="left"/>
      <protection locked="0"/>
    </xf>
    <xf numFmtId="3" fontId="17" fillId="0" borderId="190" xfId="31" applyNumberFormat="1" applyFont="1" applyBorder="1" applyAlignment="1" applyProtection="1">
      <alignment horizontal="right"/>
      <protection locked="0"/>
    </xf>
    <xf numFmtId="3" fontId="20" fillId="0" borderId="214" xfId="31" applyNumberFormat="1" applyFont="1" applyBorder="1" applyAlignment="1" applyProtection="1">
      <alignment horizontal="right" vertical="center"/>
      <protection locked="0"/>
    </xf>
    <xf numFmtId="3" fontId="20" fillId="0" borderId="212" xfId="31" applyNumberFormat="1" applyFont="1" applyBorder="1" applyAlignment="1" applyProtection="1">
      <alignment horizontal="right" vertical="center"/>
      <protection locked="0"/>
    </xf>
    <xf numFmtId="0" fontId="17" fillId="0" borderId="16" xfId="31" applyFont="1" applyBorder="1" applyProtection="1">
      <protection locked="0"/>
    </xf>
    <xf numFmtId="0" fontId="17" fillId="0" borderId="16" xfId="31" applyFont="1" applyBorder="1" applyAlignment="1" applyProtection="1">
      <alignment horizontal="left"/>
      <protection locked="0"/>
    </xf>
    <xf numFmtId="0" fontId="17" fillId="0" borderId="18" xfId="31" applyFont="1" applyBorder="1" applyAlignment="1" applyProtection="1">
      <alignment horizontal="left"/>
      <protection locked="0"/>
    </xf>
    <xf numFmtId="0" fontId="17" fillId="0" borderId="17" xfId="31" applyFont="1" applyBorder="1" applyProtection="1">
      <protection locked="0"/>
    </xf>
    <xf numFmtId="0" fontId="17" fillId="0" borderId="17" xfId="31" applyFont="1" applyBorder="1" applyAlignment="1" applyProtection="1">
      <alignment horizontal="left"/>
      <protection locked="0"/>
    </xf>
    <xf numFmtId="3" fontId="17" fillId="0" borderId="17" xfId="31" applyNumberFormat="1" applyFont="1" applyBorder="1" applyProtection="1">
      <protection locked="0"/>
    </xf>
    <xf numFmtId="3" fontId="20" fillId="0" borderId="217" xfId="31" applyNumberFormat="1" applyFont="1" applyBorder="1" applyAlignment="1" applyProtection="1">
      <alignment horizontal="right" vertical="center"/>
      <protection locked="0"/>
    </xf>
    <xf numFmtId="3" fontId="20" fillId="0" borderId="211" xfId="31" applyNumberFormat="1" applyFont="1" applyBorder="1" applyAlignment="1" applyProtection="1">
      <alignment horizontal="right" vertical="center"/>
      <protection locked="0"/>
    </xf>
    <xf numFmtId="3" fontId="17" fillId="0" borderId="219" xfId="27" applyNumberFormat="1" applyFont="1" applyBorder="1" applyAlignment="1">
      <alignment horizontal="center"/>
    </xf>
    <xf numFmtId="3" fontId="20" fillId="0" borderId="21" xfId="0" applyNumberFormat="1" applyFont="1" applyBorder="1" applyAlignment="1">
      <alignment horizontal="right" wrapText="1"/>
    </xf>
    <xf numFmtId="3" fontId="20" fillId="0" borderId="16" xfId="0" applyNumberFormat="1" applyFont="1" applyBorder="1" applyAlignment="1">
      <alignment horizontal="right" wrapText="1"/>
    </xf>
    <xf numFmtId="3" fontId="20" fillId="0" borderId="16" xfId="0" applyNumberFormat="1" applyFont="1" applyBorder="1" applyAlignment="1">
      <alignment horizontal="right" vertical="center" wrapText="1"/>
    </xf>
    <xf numFmtId="3" fontId="19" fillId="0" borderId="21" xfId="0" applyNumberFormat="1" applyFont="1" applyBorder="1" applyAlignment="1">
      <alignment horizontal="right" wrapText="1"/>
    </xf>
    <xf numFmtId="3" fontId="23" fillId="0" borderId="21" xfId="0" applyNumberFormat="1" applyFont="1" applyBorder="1" applyAlignment="1">
      <alignment horizontal="right" wrapText="1"/>
    </xf>
    <xf numFmtId="3" fontId="17" fillId="0" borderId="16" xfId="0" applyNumberFormat="1" applyFont="1" applyBorder="1" applyAlignment="1">
      <alignment horizontal="right" wrapText="1"/>
    </xf>
    <xf numFmtId="3" fontId="20" fillId="0" borderId="17" xfId="0" applyNumberFormat="1" applyFont="1" applyBorder="1" applyAlignment="1">
      <alignment horizontal="right" wrapText="1"/>
    </xf>
    <xf numFmtId="3" fontId="19" fillId="0" borderId="16" xfId="0" applyNumberFormat="1" applyFont="1" applyBorder="1" applyAlignment="1">
      <alignment horizontal="right" wrapText="1"/>
    </xf>
    <xf numFmtId="3" fontId="23" fillId="0" borderId="16" xfId="0" applyNumberFormat="1" applyFont="1" applyBorder="1" applyAlignment="1">
      <alignment horizontal="right" wrapText="1"/>
    </xf>
    <xf numFmtId="3" fontId="23" fillId="0" borderId="17" xfId="0" applyNumberFormat="1" applyFont="1" applyBorder="1" applyAlignment="1">
      <alignment horizontal="right" wrapText="1"/>
    </xf>
    <xf numFmtId="3" fontId="20" fillId="0" borderId="17" xfId="0" applyNumberFormat="1" applyFont="1" applyBorder="1" applyAlignment="1">
      <alignment horizontal="right" vertical="center" wrapText="1"/>
    </xf>
    <xf numFmtId="3" fontId="23" fillId="0" borderId="16" xfId="0" applyNumberFormat="1" applyFont="1" applyBorder="1" applyAlignment="1">
      <alignment horizontal="right" vertical="center" wrapText="1"/>
    </xf>
    <xf numFmtId="3" fontId="19" fillId="0" borderId="16" xfId="0" applyNumberFormat="1" applyFont="1" applyBorder="1" applyAlignment="1">
      <alignment horizontal="right" vertical="center" wrapText="1"/>
    </xf>
    <xf numFmtId="3" fontId="23" fillId="0" borderId="17" xfId="0" applyNumberFormat="1" applyFont="1" applyBorder="1" applyAlignment="1">
      <alignment horizontal="right" vertical="center" wrapText="1"/>
    </xf>
    <xf numFmtId="3" fontId="10" fillId="0" borderId="35" xfId="27" applyNumberFormat="1" applyFont="1" applyBorder="1" applyAlignment="1">
      <alignment horizontal="center" vertical="center"/>
    </xf>
    <xf numFmtId="3" fontId="10" fillId="0" borderId="21" xfId="27" applyNumberFormat="1" applyFont="1" applyBorder="1" applyAlignment="1">
      <alignment horizontal="center" vertical="center"/>
    </xf>
    <xf numFmtId="3" fontId="10" fillId="0" borderId="20" xfId="27" applyNumberFormat="1" applyFont="1" applyBorder="1" applyAlignment="1">
      <alignment horizontal="center" vertical="center"/>
    </xf>
    <xf numFmtId="3" fontId="19" fillId="0" borderId="17" xfId="0" applyNumberFormat="1" applyFont="1" applyBorder="1" applyAlignment="1">
      <alignment horizontal="right" wrapText="1"/>
    </xf>
    <xf numFmtId="3" fontId="19" fillId="0" borderId="17" xfId="0" applyNumberFormat="1" applyFont="1" applyBorder="1" applyAlignment="1">
      <alignment horizontal="right" vertical="center" wrapText="1"/>
    </xf>
    <xf numFmtId="3" fontId="20" fillId="0" borderId="24" xfId="0" applyNumberFormat="1" applyFont="1" applyBorder="1" applyAlignment="1">
      <alignment horizontal="right" wrapText="1"/>
    </xf>
    <xf numFmtId="3" fontId="23" fillId="0" borderId="24" xfId="0" applyNumberFormat="1" applyFont="1" applyBorder="1" applyAlignment="1">
      <alignment horizontal="right" wrapText="1"/>
    </xf>
    <xf numFmtId="3" fontId="19" fillId="0" borderId="24" xfId="0" applyNumberFormat="1" applyFont="1" applyBorder="1" applyAlignment="1">
      <alignment horizontal="right" wrapText="1"/>
    </xf>
    <xf numFmtId="0" fontId="0" fillId="0" borderId="189" xfId="0" applyBorder="1" applyAlignment="1">
      <alignment horizontal="left" wrapText="1"/>
    </xf>
    <xf numFmtId="3" fontId="41" fillId="0" borderId="94" xfId="27" applyNumberFormat="1" applyFont="1" applyBorder="1" applyAlignment="1">
      <alignment horizontal="right"/>
    </xf>
    <xf numFmtId="3" fontId="34" fillId="0" borderId="50" xfId="27" applyNumberFormat="1" applyFont="1" applyBorder="1" applyAlignment="1">
      <alignment horizontal="center"/>
    </xf>
    <xf numFmtId="3" fontId="23" fillId="0" borderId="16" xfId="0" applyNumberFormat="1" applyFont="1" applyBorder="1"/>
    <xf numFmtId="3" fontId="23" fillId="0" borderId="182" xfId="0" applyNumberFormat="1" applyFont="1" applyBorder="1" applyAlignment="1">
      <alignment horizontal="right" wrapText="1"/>
    </xf>
    <xf numFmtId="3" fontId="17" fillId="0" borderId="104" xfId="27" applyNumberFormat="1" applyFont="1" applyBorder="1" applyAlignment="1">
      <alignment horizontal="right"/>
    </xf>
    <xf numFmtId="3" fontId="17" fillId="0" borderId="104" xfId="27" applyNumberFormat="1" applyFont="1" applyBorder="1" applyAlignment="1">
      <alignment horizontal="center"/>
    </xf>
    <xf numFmtId="3" fontId="34" fillId="0" borderId="133" xfId="0" applyNumberFormat="1" applyFont="1" applyBorder="1" applyAlignment="1">
      <alignment horizontal="right" wrapText="1"/>
    </xf>
    <xf numFmtId="3" fontId="10" fillId="0" borderId="192" xfId="27" applyNumberFormat="1" applyFont="1" applyBorder="1" applyAlignment="1">
      <alignment horizontal="center"/>
    </xf>
    <xf numFmtId="3" fontId="10" fillId="0" borderId="50" xfId="27" applyNumberFormat="1" applyFont="1" applyBorder="1" applyAlignment="1">
      <alignment horizontal="center"/>
    </xf>
    <xf numFmtId="3" fontId="38" fillId="0" borderId="21" xfId="27" applyNumberFormat="1" applyFont="1" applyBorder="1"/>
    <xf numFmtId="3" fontId="37" fillId="0" borderId="21" xfId="27" applyNumberFormat="1" applyFont="1" applyBorder="1"/>
    <xf numFmtId="3" fontId="37" fillId="0" borderId="24" xfId="27" applyNumberFormat="1" applyFont="1" applyBorder="1"/>
    <xf numFmtId="3" fontId="23" fillId="0" borderId="133" xfId="0" applyNumberFormat="1" applyFont="1" applyBorder="1" applyAlignment="1">
      <alignment horizontal="right" wrapText="1"/>
    </xf>
    <xf numFmtId="3" fontId="20" fillId="0" borderId="133" xfId="0" applyNumberFormat="1" applyFont="1" applyBorder="1" applyAlignment="1">
      <alignment horizontal="right" wrapText="1"/>
    </xf>
    <xf numFmtId="3" fontId="20" fillId="0" borderId="21" xfId="27" applyNumberFormat="1" applyFont="1" applyBorder="1"/>
    <xf numFmtId="3" fontId="13" fillId="0" borderId="21" xfId="27" applyNumberFormat="1" applyFont="1" applyBorder="1"/>
    <xf numFmtId="3" fontId="24" fillId="0" borderId="21" xfId="27" applyNumberFormat="1" applyFont="1" applyBorder="1"/>
    <xf numFmtId="3" fontId="24" fillId="0" borderId="24" xfId="27" applyNumberFormat="1" applyFont="1" applyBorder="1"/>
    <xf numFmtId="3" fontId="20" fillId="0" borderId="86" xfId="0" applyNumberFormat="1" applyFont="1" applyBorder="1" applyAlignment="1">
      <alignment horizontal="right" wrapText="1"/>
    </xf>
    <xf numFmtId="3" fontId="19" fillId="0" borderId="86" xfId="0" applyNumberFormat="1" applyFont="1" applyBorder="1" applyAlignment="1">
      <alignment horizontal="right" wrapText="1"/>
    </xf>
    <xf numFmtId="3" fontId="20" fillId="0" borderId="182" xfId="0" applyNumberFormat="1" applyFont="1" applyBorder="1" applyAlignment="1">
      <alignment horizontal="right" wrapText="1"/>
    </xf>
    <xf numFmtId="3" fontId="17" fillId="0" borderId="86" xfId="0" applyNumberFormat="1" applyFont="1" applyBorder="1" applyAlignment="1">
      <alignment horizontal="right" wrapText="1"/>
    </xf>
    <xf numFmtId="3" fontId="23" fillId="0" borderId="86" xfId="0" applyNumberFormat="1" applyFont="1" applyBorder="1" applyAlignment="1">
      <alignment horizontal="right" wrapText="1"/>
    </xf>
    <xf numFmtId="3" fontId="33" fillId="0" borderId="35" xfId="27" applyNumberFormat="1" applyFont="1" applyBorder="1" applyAlignment="1">
      <alignment wrapText="1"/>
    </xf>
    <xf numFmtId="3" fontId="10" fillId="0" borderId="16" xfId="27" applyNumberFormat="1" applyFont="1" applyBorder="1" applyAlignment="1">
      <alignment horizontal="center"/>
    </xf>
    <xf numFmtId="3" fontId="20" fillId="0" borderId="20" xfId="30" applyNumberFormat="1" applyFont="1" applyBorder="1"/>
    <xf numFmtId="3" fontId="17" fillId="0" borderId="20" xfId="27" applyNumberFormat="1" applyFont="1" applyBorder="1" applyAlignment="1">
      <alignment wrapText="1"/>
    </xf>
    <xf numFmtId="3" fontId="33" fillId="0" borderId="22" xfId="27" applyNumberFormat="1" applyFont="1" applyBorder="1" applyAlignment="1">
      <alignment wrapText="1"/>
    </xf>
    <xf numFmtId="3" fontId="19" fillId="0" borderId="182" xfId="0" applyNumberFormat="1" applyFont="1" applyBorder="1" applyAlignment="1">
      <alignment horizontal="right" wrapText="1"/>
    </xf>
    <xf numFmtId="3" fontId="19" fillId="0" borderId="181" xfId="27" applyNumberFormat="1" applyFont="1" applyBorder="1" applyAlignment="1">
      <alignment horizontal="center" vertical="center"/>
    </xf>
    <xf numFmtId="3" fontId="17" fillId="0" borderId="35" xfId="27" applyNumberFormat="1" applyFont="1" applyBorder="1" applyAlignment="1">
      <alignment horizontal="center"/>
    </xf>
    <xf numFmtId="3" fontId="17" fillId="0" borderId="113" xfId="27" applyNumberFormat="1" applyFont="1" applyBorder="1" applyAlignment="1">
      <alignment horizontal="right"/>
    </xf>
    <xf numFmtId="3" fontId="17" fillId="0" borderId="35" xfId="27" applyNumberFormat="1" applyFont="1" applyBorder="1" applyAlignment="1">
      <alignment horizontal="right"/>
    </xf>
    <xf numFmtId="3" fontId="17" fillId="0" borderId="113" xfId="27" applyNumberFormat="1" applyFont="1" applyBorder="1" applyAlignment="1">
      <alignment horizontal="center"/>
    </xf>
    <xf numFmtId="3" fontId="33" fillId="0" borderId="35" xfId="27" applyNumberFormat="1" applyFont="1" applyBorder="1" applyAlignment="1">
      <alignment horizontal="right"/>
    </xf>
    <xf numFmtId="3" fontId="42" fillId="0" borderId="98" xfId="0" applyNumberFormat="1" applyFont="1" applyBorder="1" applyAlignment="1">
      <alignment horizontal="right" wrapText="1"/>
    </xf>
    <xf numFmtId="3" fontId="33" fillId="0" borderId="98" xfId="0" applyNumberFormat="1" applyFont="1" applyBorder="1" applyAlignment="1">
      <alignment horizontal="right" wrapText="1"/>
    </xf>
    <xf numFmtId="3" fontId="33" fillId="0" borderId="221" xfId="0" applyNumberFormat="1" applyFont="1" applyBorder="1" applyAlignment="1">
      <alignment horizontal="right" wrapText="1"/>
    </xf>
    <xf numFmtId="3" fontId="20" fillId="0" borderId="103" xfId="30" applyNumberFormat="1" applyFont="1" applyBorder="1"/>
    <xf numFmtId="3" fontId="20" fillId="0" borderId="4" xfId="27" applyNumberFormat="1" applyFont="1" applyBorder="1" applyAlignment="1">
      <alignment horizontal="center" vertical="center"/>
    </xf>
    <xf numFmtId="3" fontId="17" fillId="0" borderId="52" xfId="27" applyNumberFormat="1" applyFont="1" applyBorder="1" applyAlignment="1">
      <alignment horizontal="center" vertical="center" wrapText="1"/>
    </xf>
    <xf numFmtId="3" fontId="33" fillId="0" borderId="53" xfId="0" applyNumberFormat="1" applyFont="1" applyBorder="1" applyAlignment="1">
      <alignment vertical="center"/>
    </xf>
    <xf numFmtId="3" fontId="20" fillId="0" borderId="181" xfId="27" applyNumberFormat="1" applyFont="1" applyBorder="1" applyAlignment="1">
      <alignment horizontal="center" vertical="center"/>
    </xf>
    <xf numFmtId="3" fontId="17" fillId="0" borderId="35" xfId="27" applyNumberFormat="1" applyFont="1" applyBorder="1" applyAlignment="1">
      <alignment horizontal="center" vertical="center" wrapText="1"/>
    </xf>
    <xf numFmtId="3" fontId="46" fillId="0" borderId="113" xfId="27" applyNumberFormat="1" applyFont="1" applyBorder="1" applyAlignment="1">
      <alignment wrapText="1"/>
    </xf>
    <xf numFmtId="3" fontId="51" fillId="0" borderId="35" xfId="27" applyNumberFormat="1" applyFont="1" applyBorder="1" applyAlignment="1">
      <alignment wrapText="1"/>
    </xf>
    <xf numFmtId="3" fontId="41" fillId="0" borderId="98" xfId="0" applyNumberFormat="1" applyFont="1" applyBorder="1" applyAlignment="1">
      <alignment vertical="center"/>
    </xf>
    <xf numFmtId="3" fontId="33" fillId="0" borderId="98" xfId="0" applyNumberFormat="1" applyFont="1" applyBorder="1" applyAlignment="1">
      <alignment vertical="center"/>
    </xf>
    <xf numFmtId="3" fontId="33" fillId="0" borderId="221" xfId="0" applyNumberFormat="1" applyFont="1" applyBorder="1" applyAlignment="1">
      <alignment vertical="center"/>
    </xf>
    <xf numFmtId="3" fontId="17" fillId="0" borderId="16" xfId="27" applyNumberFormat="1" applyFont="1" applyBorder="1" applyAlignment="1">
      <alignment horizontal="center" vertical="center" wrapText="1"/>
    </xf>
    <xf numFmtId="3" fontId="33" fillId="0" borderId="86" xfId="0" applyNumberFormat="1" applyFont="1" applyBorder="1" applyAlignment="1">
      <alignment vertical="center"/>
    </xf>
    <xf numFmtId="3" fontId="51" fillId="0" borderId="16" xfId="27" applyNumberFormat="1" applyFont="1" applyBorder="1" applyAlignment="1">
      <alignment wrapText="1"/>
    </xf>
    <xf numFmtId="3" fontId="41" fillId="0" borderId="16" xfId="0" applyNumberFormat="1" applyFont="1" applyBorder="1" applyAlignment="1">
      <alignment vertical="center"/>
    </xf>
    <xf numFmtId="3" fontId="41" fillId="0" borderId="82" xfId="0" applyNumberFormat="1" applyFont="1" applyBorder="1" applyAlignment="1">
      <alignment vertical="center"/>
    </xf>
    <xf numFmtId="3" fontId="20" fillId="0" borderId="35" xfId="0" applyNumberFormat="1" applyFont="1" applyBorder="1"/>
    <xf numFmtId="3" fontId="20" fillId="0" borderId="53" xfId="0" applyNumberFormat="1" applyFont="1" applyBorder="1" applyAlignment="1">
      <alignment vertical="center"/>
    </xf>
    <xf numFmtId="3" fontId="17" fillId="0" borderId="181" xfId="0" applyNumberFormat="1" applyFont="1" applyBorder="1" applyAlignment="1">
      <alignment horizontal="center" wrapText="1"/>
    </xf>
    <xf numFmtId="3" fontId="17" fillId="0" borderId="35" xfId="0" applyNumberFormat="1" applyFont="1" applyBorder="1" applyAlignment="1">
      <alignment horizontal="center" wrapText="1"/>
    </xf>
    <xf numFmtId="3" fontId="17" fillId="0" borderId="121" xfId="0" applyNumberFormat="1" applyFont="1" applyBorder="1" applyAlignment="1">
      <alignment horizontal="center" wrapText="1"/>
    </xf>
    <xf numFmtId="3" fontId="33" fillId="0" borderId="53" xfId="0" applyNumberFormat="1" applyFont="1" applyBorder="1" applyAlignment="1">
      <alignment horizontal="right"/>
    </xf>
    <xf numFmtId="3" fontId="41" fillId="0" borderId="35" xfId="0" applyNumberFormat="1" applyFont="1" applyBorder="1" applyAlignment="1">
      <alignment horizontal="right" wrapText="1"/>
    </xf>
    <xf numFmtId="3" fontId="17" fillId="0" borderId="16" xfId="0" applyNumberFormat="1" applyFont="1" applyBorder="1" applyAlignment="1">
      <alignment horizontal="center" wrapText="1"/>
    </xf>
    <xf numFmtId="0" fontId="0" fillId="0" borderId="16" xfId="0" applyBorder="1" applyAlignment="1">
      <alignment horizontal="left" wrapText="1"/>
    </xf>
    <xf numFmtId="3" fontId="17" fillId="0" borderId="86" xfId="0" applyNumberFormat="1" applyFont="1" applyBorder="1" applyAlignment="1">
      <alignment horizontal="center" wrapText="1"/>
    </xf>
    <xf numFmtId="0" fontId="0" fillId="0" borderId="111" xfId="0" applyBorder="1" applyAlignment="1">
      <alignment horizontal="left" wrapText="1"/>
    </xf>
    <xf numFmtId="3" fontId="19" fillId="0" borderId="22" xfId="0" applyNumberFormat="1" applyFont="1" applyBorder="1" applyAlignment="1">
      <alignment wrapText="1"/>
    </xf>
    <xf numFmtId="0" fontId="0" fillId="0" borderId="160" xfId="0" applyBorder="1" applyAlignment="1">
      <alignment wrapText="1"/>
    </xf>
    <xf numFmtId="3" fontId="33" fillId="0" borderId="120" xfId="27" applyNumberFormat="1" applyFont="1" applyBorder="1" applyAlignment="1">
      <alignment wrapText="1"/>
    </xf>
    <xf numFmtId="0" fontId="0" fillId="0" borderId="220" xfId="0" applyBorder="1" applyAlignment="1">
      <alignment wrapText="1"/>
    </xf>
    <xf numFmtId="3" fontId="19" fillId="0" borderId="107" xfId="0" applyNumberFormat="1" applyFont="1" applyBorder="1" applyAlignment="1">
      <alignment wrapText="1"/>
    </xf>
    <xf numFmtId="0" fontId="0" fillId="0" borderId="189" xfId="0" applyBorder="1" applyAlignment="1">
      <alignment wrapText="1"/>
    </xf>
    <xf numFmtId="3" fontId="19" fillId="0" borderId="14" xfId="0" applyNumberFormat="1" applyFont="1" applyBorder="1" applyAlignment="1">
      <alignment wrapText="1"/>
    </xf>
    <xf numFmtId="0" fontId="0" fillId="0" borderId="16" xfId="0" applyBorder="1" applyAlignment="1">
      <alignment wrapText="1"/>
    </xf>
    <xf numFmtId="3" fontId="23" fillId="0" borderId="16" xfId="0" applyNumberFormat="1" applyFont="1" applyBorder="1" applyAlignment="1">
      <alignment vertical="center"/>
    </xf>
    <xf numFmtId="3" fontId="19" fillId="0" borderId="35" xfId="0" applyNumberFormat="1" applyFont="1" applyBorder="1" applyAlignment="1">
      <alignment horizontal="right" wrapText="1"/>
    </xf>
    <xf numFmtId="3" fontId="20" fillId="0" borderId="18" xfId="0" applyNumberFormat="1" applyFont="1" applyBorder="1" applyAlignment="1">
      <alignment vertical="center"/>
    </xf>
    <xf numFmtId="3" fontId="41" fillId="0" borderId="36" xfId="0" applyNumberFormat="1" applyFont="1" applyBorder="1" applyAlignment="1">
      <alignment horizontal="right" wrapText="1"/>
    </xf>
    <xf numFmtId="3" fontId="17" fillId="0" borderId="15" xfId="0" applyNumberFormat="1" applyFont="1" applyBorder="1" applyAlignment="1">
      <alignment horizontal="center" wrapText="1"/>
    </xf>
    <xf numFmtId="3" fontId="17" fillId="0" borderId="117" xfId="0" applyNumberFormat="1" applyFont="1" applyBorder="1" applyAlignment="1">
      <alignment horizontal="center" wrapText="1"/>
    </xf>
    <xf numFmtId="3" fontId="20" fillId="0" borderId="123" xfId="30" applyNumberFormat="1" applyFont="1" applyBorder="1"/>
    <xf numFmtId="0" fontId="0" fillId="0" borderId="118" xfId="0" applyBorder="1" applyAlignment="1">
      <alignment horizontal="left" wrapText="1"/>
    </xf>
    <xf numFmtId="3" fontId="17" fillId="0" borderId="119" xfId="0" applyNumberFormat="1" applyFont="1" applyBorder="1" applyAlignment="1">
      <alignment horizontal="center" wrapText="1"/>
    </xf>
    <xf numFmtId="3" fontId="20" fillId="0" borderId="118" xfId="0" applyNumberFormat="1" applyFont="1" applyBorder="1"/>
    <xf numFmtId="3" fontId="17" fillId="0" borderId="118" xfId="0" applyNumberFormat="1" applyFont="1" applyBorder="1" applyAlignment="1">
      <alignment horizontal="right" wrapText="1"/>
    </xf>
    <xf numFmtId="3" fontId="17" fillId="0" borderId="116" xfId="0" applyNumberFormat="1" applyFont="1" applyBorder="1" applyAlignment="1">
      <alignment horizontal="right" wrapText="1"/>
    </xf>
    <xf numFmtId="0" fontId="17" fillId="0" borderId="21" xfId="31" applyFont="1" applyBorder="1" applyAlignment="1">
      <alignment horizontal="center"/>
    </xf>
    <xf numFmtId="3" fontId="17" fillId="0" borderId="189" xfId="31" applyNumberFormat="1" applyFont="1" applyBorder="1" applyAlignment="1">
      <alignment horizontal="right" vertical="center"/>
    </xf>
    <xf numFmtId="0" fontId="17" fillId="0" borderId="54" xfId="31" applyFont="1" applyBorder="1" applyAlignment="1">
      <alignment horizontal="center" vertical="center" wrapText="1"/>
    </xf>
    <xf numFmtId="3" fontId="17" fillId="0" borderId="54" xfId="28" applyNumberFormat="1" applyFont="1" applyBorder="1" applyAlignment="1">
      <alignment horizontal="right" vertical="center" wrapText="1"/>
    </xf>
    <xf numFmtId="3" fontId="17" fillId="0" borderId="21" xfId="28" applyNumberFormat="1" applyFont="1" applyBorder="1" applyAlignment="1">
      <alignment horizontal="right" vertical="center" wrapText="1"/>
    </xf>
    <xf numFmtId="3" fontId="20" fillId="0" borderId="135" xfId="28" applyNumberFormat="1" applyFont="1" applyBorder="1" applyAlignment="1">
      <alignment horizontal="right" vertical="center" wrapText="1"/>
    </xf>
    <xf numFmtId="3" fontId="19" fillId="0" borderId="86" xfId="28" applyNumberFormat="1" applyFont="1" applyBorder="1" applyAlignment="1">
      <alignment horizontal="right" vertical="center" wrapText="1"/>
    </xf>
    <xf numFmtId="3" fontId="19" fillId="0" borderId="16" xfId="28" applyNumberFormat="1" applyFont="1" applyBorder="1" applyAlignment="1">
      <alignment horizontal="right" vertical="center" wrapText="1"/>
    </xf>
    <xf numFmtId="3" fontId="19" fillId="0" borderId="111" xfId="28" applyNumberFormat="1" applyFont="1" applyBorder="1" applyAlignment="1">
      <alignment horizontal="right" vertical="center" wrapText="1"/>
    </xf>
    <xf numFmtId="3" fontId="52" fillId="0" borderId="16" xfId="28" applyNumberFormat="1" applyFont="1" applyBorder="1" applyAlignment="1">
      <alignment horizontal="right" vertical="center" wrapText="1"/>
    </xf>
    <xf numFmtId="3" fontId="52" fillId="0" borderId="111" xfId="28" applyNumberFormat="1" applyFont="1" applyBorder="1" applyAlignment="1">
      <alignment horizontal="right" vertical="center" wrapText="1"/>
    </xf>
    <xf numFmtId="3" fontId="20" fillId="0" borderId="51" xfId="28" applyNumberFormat="1" applyFont="1" applyBorder="1" applyAlignment="1">
      <alignment vertical="center" wrapText="1"/>
    </xf>
    <xf numFmtId="3" fontId="20" fillId="0" borderId="35" xfId="28" applyNumberFormat="1" applyFont="1" applyBorder="1" applyAlignment="1">
      <alignment vertical="center" wrapText="1"/>
    </xf>
    <xf numFmtId="0" fontId="19" fillId="0" borderId="120" xfId="28" applyFont="1" applyBorder="1" applyAlignment="1">
      <alignment horizontal="left"/>
    </xf>
    <xf numFmtId="3" fontId="33" fillId="0" borderId="220" xfId="27" applyNumberFormat="1" applyFont="1" applyBorder="1" applyAlignment="1">
      <alignment wrapText="1"/>
    </xf>
    <xf numFmtId="3" fontId="20" fillId="0" borderId="30" xfId="28" applyNumberFormat="1" applyFont="1" applyBorder="1" applyAlignment="1">
      <alignment horizontal="right" vertical="center" wrapText="1"/>
    </xf>
    <xf numFmtId="3" fontId="20" fillId="0" borderId="50" xfId="28" applyNumberFormat="1" applyFont="1" applyBorder="1" applyAlignment="1">
      <alignment horizontal="right" vertical="center" wrapText="1"/>
    </xf>
    <xf numFmtId="3" fontId="20" fillId="0" borderId="21" xfId="28" applyNumberFormat="1" applyFont="1" applyBorder="1" applyAlignment="1">
      <alignment horizontal="right" vertical="center" wrapText="1"/>
    </xf>
    <xf numFmtId="3" fontId="20" fillId="0" borderId="133" xfId="28" applyNumberFormat="1" applyFont="1" applyBorder="1" applyAlignment="1">
      <alignment horizontal="right" vertical="center" wrapText="1"/>
    </xf>
    <xf numFmtId="3" fontId="33" fillId="0" borderId="160" xfId="27" applyNumberFormat="1" applyFont="1" applyBorder="1" applyAlignment="1">
      <alignment wrapText="1"/>
    </xf>
    <xf numFmtId="3" fontId="33" fillId="0" borderId="115" xfId="27" applyNumberFormat="1" applyFont="1" applyBorder="1" applyAlignment="1">
      <alignment wrapText="1"/>
    </xf>
    <xf numFmtId="3" fontId="20" fillId="0" borderId="101" xfId="28" applyNumberFormat="1" applyFont="1" applyBorder="1" applyAlignment="1">
      <alignment horizontal="right" vertical="center" wrapText="1"/>
    </xf>
    <xf numFmtId="3" fontId="20" fillId="0" borderId="82" xfId="28" applyNumberFormat="1" applyFont="1" applyBorder="1" applyAlignment="1">
      <alignment horizontal="right" vertical="center" wrapText="1"/>
    </xf>
    <xf numFmtId="3" fontId="20" fillId="0" borderId="184" xfId="28" applyNumberFormat="1" applyFont="1" applyBorder="1" applyAlignment="1">
      <alignment horizontal="right" vertical="center" wrapText="1"/>
    </xf>
    <xf numFmtId="3" fontId="20" fillId="0" borderId="186" xfId="28" applyNumberFormat="1" applyFont="1" applyBorder="1" applyAlignment="1">
      <alignment horizontal="right" vertical="center" wrapText="1"/>
    </xf>
    <xf numFmtId="3" fontId="19" fillId="0" borderId="20" xfId="0" applyNumberFormat="1" applyFont="1" applyBorder="1" applyAlignment="1">
      <alignment wrapText="1"/>
    </xf>
    <xf numFmtId="0" fontId="0" fillId="0" borderId="35" xfId="0" applyBorder="1" applyAlignment="1">
      <alignment wrapText="1"/>
    </xf>
    <xf numFmtId="3" fontId="20" fillId="0" borderId="121" xfId="28" applyNumberFormat="1" applyFont="1" applyBorder="1" applyAlignment="1">
      <alignment horizontal="right" vertical="center" wrapText="1"/>
    </xf>
    <xf numFmtId="3" fontId="17" fillId="0" borderId="35" xfId="28" applyNumberFormat="1" applyFont="1" applyBorder="1" applyAlignment="1">
      <alignment horizontal="right" vertical="center" wrapText="1"/>
    </xf>
    <xf numFmtId="3" fontId="20" fillId="0" borderId="221" xfId="28" applyNumberFormat="1" applyFont="1" applyBorder="1" applyAlignment="1">
      <alignment horizontal="right" vertical="center" wrapText="1"/>
    </xf>
    <xf numFmtId="3" fontId="20" fillId="0" borderId="86" xfId="28" applyNumberFormat="1" applyFont="1" applyBorder="1" applyAlignment="1">
      <alignment horizontal="right" vertical="center" wrapText="1"/>
    </xf>
    <xf numFmtId="3" fontId="20" fillId="0" borderId="119" xfId="28" applyNumberFormat="1" applyFont="1" applyBorder="1" applyAlignment="1">
      <alignment horizontal="right" vertical="center" wrapText="1"/>
    </xf>
    <xf numFmtId="0" fontId="0" fillId="0" borderId="136" xfId="0" applyBorder="1" applyAlignment="1">
      <alignment horizontal="left" wrapText="1"/>
    </xf>
    <xf numFmtId="3" fontId="52" fillId="0" borderId="130" xfId="28" applyNumberFormat="1" applyFont="1" applyBorder="1" applyAlignment="1">
      <alignment horizontal="right" vertical="center" wrapText="1"/>
    </xf>
    <xf numFmtId="3" fontId="19" fillId="0" borderId="54" xfId="28" applyNumberFormat="1" applyFont="1" applyBorder="1" applyAlignment="1">
      <alignment horizontal="right" vertical="center" wrapText="1"/>
    </xf>
    <xf numFmtId="3" fontId="19" fillId="0" borderId="21" xfId="28" applyNumberFormat="1" applyFont="1" applyBorder="1" applyAlignment="1">
      <alignment horizontal="right" vertical="center" wrapText="1"/>
    </xf>
    <xf numFmtId="3" fontId="53" fillId="0" borderId="52" xfId="28" applyNumberFormat="1" applyFont="1" applyBorder="1" applyAlignment="1">
      <alignment horizontal="right" vertical="center" wrapText="1"/>
    </xf>
    <xf numFmtId="3" fontId="53" fillId="0" borderId="134" xfId="28" applyNumberFormat="1" applyFont="1" applyBorder="1" applyAlignment="1">
      <alignment horizontal="right" vertical="center" wrapText="1"/>
    </xf>
    <xf numFmtId="3" fontId="19" fillId="0" borderId="35" xfId="28" applyNumberFormat="1" applyFont="1" applyBorder="1" applyAlignment="1">
      <alignment horizontal="right" vertical="center" wrapText="1"/>
    </xf>
    <xf numFmtId="0" fontId="10" fillId="0" borderId="181" xfId="31" applyFont="1" applyBorder="1" applyAlignment="1">
      <alignment horizontal="center"/>
    </xf>
    <xf numFmtId="3" fontId="37" fillId="0" borderId="221" xfId="31" applyNumberFormat="1" applyFont="1" applyBorder="1" applyAlignment="1">
      <alignment horizontal="right"/>
    </xf>
    <xf numFmtId="3" fontId="37" fillId="0" borderId="108" xfId="31" applyNumberFormat="1" applyFont="1" applyBorder="1" applyAlignment="1">
      <alignment horizontal="right"/>
    </xf>
    <xf numFmtId="0" fontId="10" fillId="0" borderId="0" xfId="31" applyFont="1" applyAlignment="1">
      <alignment horizontal="center" vertical="top"/>
    </xf>
    <xf numFmtId="0" fontId="10" fillId="0" borderId="94" xfId="31" applyFont="1" applyBorder="1" applyAlignment="1">
      <alignment horizontal="center" vertical="top"/>
    </xf>
    <xf numFmtId="3" fontId="45" fillId="0" borderId="51" xfId="28" applyNumberFormat="1" applyFont="1" applyBorder="1" applyAlignment="1">
      <alignment vertical="center" wrapText="1"/>
    </xf>
    <xf numFmtId="3" fontId="45" fillId="0" borderId="35" xfId="28" applyNumberFormat="1" applyFont="1" applyBorder="1" applyAlignment="1">
      <alignment vertical="center" wrapText="1"/>
    </xf>
    <xf numFmtId="3" fontId="45" fillId="0" borderId="220" xfId="28" applyNumberFormat="1" applyFont="1" applyBorder="1" applyAlignment="1">
      <alignment vertical="center" wrapText="1"/>
    </xf>
    <xf numFmtId="3" fontId="10" fillId="0" borderId="121" xfId="28" applyNumberFormat="1" applyFont="1" applyBorder="1" applyAlignment="1">
      <alignment horizontal="right" vertical="center" wrapText="1"/>
    </xf>
    <xf numFmtId="3" fontId="45" fillId="0" borderId="98" xfId="28" applyNumberFormat="1" applyFont="1" applyBorder="1" applyAlignment="1">
      <alignment horizontal="right" vertical="center" wrapText="1"/>
    </xf>
    <xf numFmtId="3" fontId="45" fillId="0" borderId="130" xfId="28" applyNumberFormat="1" applyFont="1" applyBorder="1" applyAlignment="1">
      <alignment horizontal="right" vertical="center" wrapText="1"/>
    </xf>
    <xf numFmtId="3" fontId="45" fillId="0" borderId="129" xfId="28" applyNumberFormat="1" applyFont="1" applyBorder="1" applyAlignment="1">
      <alignment horizontal="right" vertical="center" wrapText="1"/>
    </xf>
    <xf numFmtId="3" fontId="45" fillId="0" borderId="15" xfId="28" applyNumberFormat="1" applyFont="1" applyBorder="1" applyAlignment="1">
      <alignment vertical="center" wrapText="1"/>
    </xf>
    <xf numFmtId="3" fontId="45" fillId="0" borderId="16" xfId="28" applyNumberFormat="1" applyFont="1" applyBorder="1" applyAlignment="1">
      <alignment vertical="center" wrapText="1"/>
    </xf>
    <xf numFmtId="3" fontId="45" fillId="0" borderId="17" xfId="28" applyNumberFormat="1" applyFont="1" applyBorder="1" applyAlignment="1">
      <alignment horizontal="right" vertical="center" wrapText="1"/>
    </xf>
    <xf numFmtId="3" fontId="45" fillId="0" borderId="116" xfId="28" applyNumberFormat="1" applyFont="1" applyBorder="1" applyAlignment="1">
      <alignment horizontal="right" vertical="center" wrapText="1"/>
    </xf>
    <xf numFmtId="3" fontId="10" fillId="0" borderId="86" xfId="28" applyNumberFormat="1" applyFont="1" applyBorder="1" applyAlignment="1">
      <alignment horizontal="right" vertical="center" wrapText="1"/>
    </xf>
    <xf numFmtId="3" fontId="10" fillId="0" borderId="119" xfId="28" applyNumberFormat="1" applyFont="1" applyBorder="1" applyAlignment="1">
      <alignment horizontal="right" vertical="center" wrapText="1"/>
    </xf>
    <xf numFmtId="3" fontId="45" fillId="0" borderId="111" xfId="28" applyNumberFormat="1" applyFont="1" applyBorder="1" applyAlignment="1">
      <alignment vertical="center" wrapText="1"/>
    </xf>
    <xf numFmtId="3" fontId="45" fillId="0" borderId="136" xfId="28" applyNumberFormat="1" applyFont="1" applyBorder="1" applyAlignment="1">
      <alignment vertical="center" wrapText="1"/>
    </xf>
    <xf numFmtId="0" fontId="13" fillId="0" borderId="20" xfId="28" applyFont="1" applyBorder="1"/>
    <xf numFmtId="3" fontId="12" fillId="0" borderId="16" xfId="30" applyNumberFormat="1" applyFont="1" applyBorder="1"/>
    <xf numFmtId="0" fontId="12" fillId="0" borderId="210" xfId="31" applyFont="1" applyBorder="1" applyAlignment="1">
      <alignment horizontal="center"/>
    </xf>
    <xf numFmtId="3" fontId="12" fillId="0" borderId="35" xfId="30" applyNumberFormat="1" applyFont="1" applyBorder="1"/>
    <xf numFmtId="3" fontId="12" fillId="0" borderId="118" xfId="30" applyNumberFormat="1" applyFont="1" applyBorder="1"/>
    <xf numFmtId="3" fontId="12" fillId="0" borderId="98" xfId="31" applyNumberFormat="1" applyFont="1" applyBorder="1" applyAlignment="1">
      <alignment horizontal="right"/>
    </xf>
    <xf numFmtId="3" fontId="10" fillId="0" borderId="98" xfId="31" applyNumberFormat="1" applyFont="1" applyBorder="1" applyAlignment="1">
      <alignment horizontal="right"/>
    </xf>
    <xf numFmtId="3" fontId="12" fillId="0" borderId="111" xfId="28" applyNumberFormat="1" applyFont="1" applyBorder="1" applyAlignment="1">
      <alignment horizontal="right" wrapText="1"/>
    </xf>
    <xf numFmtId="3" fontId="13" fillId="0" borderId="98" xfId="31" applyNumberFormat="1" applyFont="1" applyBorder="1" applyAlignment="1">
      <alignment horizontal="right"/>
    </xf>
    <xf numFmtId="3" fontId="13" fillId="0" borderId="111" xfId="28" applyNumberFormat="1" applyFont="1" applyBorder="1" applyAlignment="1">
      <alignment horizontal="right" wrapText="1"/>
    </xf>
    <xf numFmtId="3" fontId="12" fillId="0" borderId="130" xfId="28" applyNumberFormat="1" applyFont="1" applyBorder="1" applyAlignment="1">
      <alignment horizontal="right" wrapText="1"/>
    </xf>
    <xf numFmtId="3" fontId="13" fillId="0" borderId="130" xfId="28" applyNumberFormat="1" applyFont="1" applyBorder="1" applyAlignment="1">
      <alignment horizontal="right" wrapText="1"/>
    </xf>
    <xf numFmtId="3" fontId="12" fillId="0" borderId="54" xfId="31" applyNumberFormat="1" applyFont="1" applyBorder="1" applyAlignment="1">
      <alignment horizontal="right"/>
    </xf>
    <xf numFmtId="3" fontId="10" fillId="0" borderId="54" xfId="31" applyNumberFormat="1" applyFont="1" applyBorder="1" applyAlignment="1">
      <alignment horizontal="right"/>
    </xf>
    <xf numFmtId="3" fontId="13" fillId="0" borderId="54" xfId="31" applyNumberFormat="1" applyFont="1" applyBorder="1" applyAlignment="1">
      <alignment horizontal="right"/>
    </xf>
    <xf numFmtId="3" fontId="54" fillId="0" borderId="86" xfId="31" applyNumberFormat="1" applyFont="1" applyBorder="1" applyAlignment="1">
      <alignment horizontal="right"/>
    </xf>
    <xf numFmtId="3" fontId="54" fillId="0" borderId="111" xfId="28" applyNumberFormat="1" applyFont="1" applyBorder="1" applyAlignment="1">
      <alignment horizontal="right" wrapText="1"/>
    </xf>
    <xf numFmtId="3" fontId="13" fillId="0" borderId="86" xfId="31" applyNumberFormat="1" applyFont="1" applyBorder="1" applyAlignment="1">
      <alignment horizontal="right"/>
    </xf>
    <xf numFmtId="3" fontId="13" fillId="0" borderId="16" xfId="31" applyNumberFormat="1" applyFont="1" applyBorder="1" applyAlignment="1">
      <alignment horizontal="right"/>
    </xf>
    <xf numFmtId="3" fontId="10" fillId="0" borderId="86" xfId="31" applyNumberFormat="1" applyFont="1" applyBorder="1" applyAlignment="1">
      <alignment horizontal="right"/>
    </xf>
    <xf numFmtId="3" fontId="12" fillId="0" borderId="16" xfId="28" applyNumberFormat="1" applyFont="1" applyBorder="1" applyAlignment="1">
      <alignment horizontal="right" wrapText="1"/>
    </xf>
    <xf numFmtId="3" fontId="13" fillId="0" borderId="16" xfId="28" applyNumberFormat="1" applyFont="1" applyBorder="1" applyAlignment="1">
      <alignment horizontal="right" wrapText="1"/>
    </xf>
    <xf numFmtId="3" fontId="12" fillId="0" borderId="86" xfId="28" applyNumberFormat="1" applyFont="1" applyBorder="1" applyAlignment="1">
      <alignment horizontal="right" wrapText="1"/>
    </xf>
    <xf numFmtId="3" fontId="54" fillId="0" borderId="86" xfId="28" applyNumberFormat="1" applyFont="1" applyBorder="1" applyAlignment="1">
      <alignment horizontal="right" wrapText="1"/>
    </xf>
    <xf numFmtId="3" fontId="12" fillId="0" borderId="118" xfId="28" applyNumberFormat="1" applyFont="1" applyBorder="1" applyAlignment="1">
      <alignment horizontal="right" vertical="center" wrapText="1"/>
    </xf>
    <xf numFmtId="3" fontId="12" fillId="0" borderId="136" xfId="28" applyNumberFormat="1" applyFont="1" applyBorder="1" applyAlignment="1">
      <alignment horizontal="right" vertical="center" wrapText="1"/>
    </xf>
    <xf numFmtId="3" fontId="13" fillId="0" borderId="98" xfId="28" applyNumberFormat="1" applyFont="1" applyBorder="1" applyAlignment="1">
      <alignment horizontal="right" vertical="center" wrapText="1"/>
    </xf>
    <xf numFmtId="3" fontId="13" fillId="0" borderId="130" xfId="28" applyNumberFormat="1" applyFont="1" applyBorder="1" applyAlignment="1">
      <alignment horizontal="right" vertical="center" wrapText="1"/>
    </xf>
    <xf numFmtId="0" fontId="17" fillId="0" borderId="21" xfId="31" applyFont="1" applyBorder="1" applyAlignment="1">
      <alignment horizontal="center" vertical="top"/>
    </xf>
    <xf numFmtId="3" fontId="12" fillId="0" borderId="150" xfId="0" applyNumberFormat="1" applyFont="1" applyBorder="1" applyAlignment="1">
      <alignment horizontal="right" vertical="center"/>
    </xf>
    <xf numFmtId="3" fontId="12" fillId="0" borderId="222" xfId="0" applyNumberFormat="1" applyFont="1" applyBorder="1" applyAlignment="1">
      <alignment horizontal="right"/>
    </xf>
    <xf numFmtId="3" fontId="10" fillId="0" borderId="222" xfId="0" applyNumberFormat="1" applyFont="1" applyBorder="1"/>
    <xf numFmtId="3" fontId="12" fillId="0" borderId="223" xfId="0" applyNumberFormat="1" applyFont="1" applyBorder="1" applyAlignment="1">
      <alignment vertical="center"/>
    </xf>
    <xf numFmtId="3" fontId="10" fillId="0" borderId="222" xfId="0" applyNumberFormat="1" applyFont="1" applyBorder="1" applyAlignment="1">
      <alignment horizontal="right"/>
    </xf>
    <xf numFmtId="3" fontId="12" fillId="0" borderId="224" xfId="0" applyNumberFormat="1" applyFont="1" applyBorder="1" applyAlignment="1">
      <alignment horizontal="right" vertical="center"/>
    </xf>
    <xf numFmtId="3" fontId="12" fillId="0" borderId="225" xfId="0" applyNumberFormat="1" applyFont="1" applyBorder="1" applyAlignment="1">
      <alignment horizontal="right" vertical="center"/>
    </xf>
    <xf numFmtId="3" fontId="10" fillId="0" borderId="222" xfId="0" applyNumberFormat="1" applyFont="1" applyBorder="1" applyAlignment="1">
      <alignment horizontal="right" vertical="center"/>
    </xf>
    <xf numFmtId="3" fontId="10" fillId="0" borderId="224" xfId="0" applyNumberFormat="1" applyFont="1" applyBorder="1" applyAlignment="1">
      <alignment horizontal="right" vertical="center"/>
    </xf>
    <xf numFmtId="3" fontId="12" fillId="0" borderId="222" xfId="0" applyNumberFormat="1" applyFont="1" applyBorder="1" applyAlignment="1">
      <alignment horizontal="right" vertical="center"/>
    </xf>
    <xf numFmtId="3" fontId="12" fillId="0" borderId="226" xfId="0" applyNumberFormat="1" applyFont="1" applyBorder="1" applyAlignment="1">
      <alignment horizontal="right" vertical="center"/>
    </xf>
    <xf numFmtId="166" fontId="10" fillId="0" borderId="222" xfId="33" applyNumberFormat="1" applyFont="1" applyFill="1" applyBorder="1" applyAlignment="1">
      <alignment horizontal="right"/>
    </xf>
    <xf numFmtId="166" fontId="10" fillId="0" borderId="147" xfId="33" applyNumberFormat="1" applyFont="1" applyFill="1" applyBorder="1" applyAlignment="1">
      <alignment horizontal="right"/>
    </xf>
    <xf numFmtId="0" fontId="10" fillId="0" borderId="64" xfId="0" applyFont="1" applyBorder="1"/>
    <xf numFmtId="3" fontId="10" fillId="0" borderId="64" xfId="0" applyNumberFormat="1" applyFont="1" applyBorder="1"/>
    <xf numFmtId="0" fontId="10" fillId="0" borderId="64" xfId="0" applyFont="1" applyBorder="1" applyAlignment="1">
      <alignment vertical="center"/>
    </xf>
    <xf numFmtId="0" fontId="10" fillId="0" borderId="80" xfId="0" applyFont="1" applyBorder="1" applyAlignment="1">
      <alignment vertical="center"/>
    </xf>
    <xf numFmtId="0" fontId="10" fillId="0" borderId="58" xfId="0" applyFont="1" applyBorder="1" applyAlignment="1">
      <alignment horizontal="center" vertical="center" wrapText="1"/>
    </xf>
    <xf numFmtId="3" fontId="10" fillId="0" borderId="64" xfId="0" applyNumberFormat="1" applyFont="1" applyBorder="1" applyAlignment="1">
      <alignment vertical="center"/>
    </xf>
    <xf numFmtId="3" fontId="12" fillId="0" borderId="227" xfId="0" applyNumberFormat="1" applyFont="1" applyBorder="1" applyAlignment="1">
      <alignment horizontal="right" vertical="center"/>
    </xf>
    <xf numFmtId="3" fontId="19" fillId="0" borderId="21" xfId="0" applyNumberFormat="1" applyFont="1" applyBorder="1"/>
    <xf numFmtId="0" fontId="19" fillId="0" borderId="16" xfId="31" applyFont="1" applyBorder="1" applyProtection="1">
      <protection locked="0"/>
    </xf>
    <xf numFmtId="3" fontId="19" fillId="0" borderId="16" xfId="31" applyNumberFormat="1" applyFont="1" applyBorder="1" applyProtection="1">
      <protection locked="0"/>
    </xf>
    <xf numFmtId="3" fontId="17" fillId="0" borderId="16" xfId="31" applyNumberFormat="1" applyFont="1" applyBorder="1" applyProtection="1">
      <protection locked="0"/>
    </xf>
    <xf numFmtId="3" fontId="17" fillId="0" borderId="17" xfId="31" applyNumberFormat="1" applyFont="1" applyBorder="1" applyAlignment="1" applyProtection="1">
      <alignment vertical="center"/>
      <protection locked="0"/>
    </xf>
    <xf numFmtId="3" fontId="19" fillId="0" borderId="16" xfId="31" applyNumberFormat="1" applyFont="1" applyBorder="1" applyAlignment="1" applyProtection="1">
      <alignment vertical="center"/>
      <protection locked="0"/>
    </xf>
    <xf numFmtId="3" fontId="19" fillId="0" borderId="16" xfId="31" applyNumberFormat="1" applyFont="1" applyBorder="1" applyAlignment="1" applyProtection="1">
      <alignment horizontal="left"/>
      <protection locked="0"/>
    </xf>
    <xf numFmtId="3" fontId="19" fillId="0" borderId="35" xfId="0" applyNumberFormat="1" applyFont="1" applyBorder="1" applyAlignment="1">
      <alignment horizontal="right"/>
    </xf>
    <xf numFmtId="3" fontId="17" fillId="0" borderId="21" xfId="30" applyNumberFormat="1" applyFont="1" applyBorder="1" applyAlignment="1" applyProtection="1">
      <alignment horizontal="center" vertical="top"/>
      <protection locked="0"/>
    </xf>
    <xf numFmtId="3" fontId="19" fillId="0" borderId="21" xfId="27" applyNumberFormat="1" applyFont="1" applyBorder="1"/>
    <xf numFmtId="3" fontId="20" fillId="0" borderId="54" xfId="0" applyNumberFormat="1" applyFont="1" applyBorder="1"/>
    <xf numFmtId="0" fontId="19" fillId="0" borderId="20" xfId="28" applyFont="1" applyBorder="1" applyAlignment="1">
      <alignment horizontal="left" wrapText="1"/>
    </xf>
    <xf numFmtId="3" fontId="17" fillId="0" borderId="98" xfId="31" applyNumberFormat="1" applyFont="1" applyBorder="1" applyAlignment="1">
      <alignment horizontal="right" vertical="center"/>
    </xf>
    <xf numFmtId="3" fontId="17" fillId="0" borderId="35" xfId="28" applyNumberFormat="1" applyFont="1" applyBorder="1" applyAlignment="1">
      <alignment horizontal="right" vertical="center"/>
    </xf>
    <xf numFmtId="3" fontId="17" fillId="0" borderId="22" xfId="0" applyNumberFormat="1" applyFont="1" applyBorder="1" applyAlignment="1">
      <alignment horizontal="center"/>
    </xf>
    <xf numFmtId="3" fontId="17" fillId="0" borderId="22" xfId="0" applyNumberFormat="1" applyFont="1" applyBorder="1"/>
    <xf numFmtId="3" fontId="17" fillId="0" borderId="20" xfId="0" applyNumberFormat="1" applyFont="1" applyBorder="1"/>
    <xf numFmtId="3" fontId="33" fillId="0" borderId="20" xfId="0" applyNumberFormat="1" applyFont="1" applyBorder="1" applyAlignment="1">
      <alignment vertical="center"/>
    </xf>
    <xf numFmtId="3" fontId="33" fillId="0" borderId="22" xfId="0" applyNumberFormat="1" applyFont="1" applyBorder="1" applyAlignment="1">
      <alignment vertical="center"/>
    </xf>
    <xf numFmtId="3" fontId="23" fillId="0" borderId="107" xfId="0" applyNumberFormat="1" applyFont="1" applyBorder="1" applyAlignment="1">
      <alignment vertical="center"/>
    </xf>
    <xf numFmtId="3" fontId="33" fillId="0" borderId="120" xfId="0" applyNumberFormat="1" applyFont="1" applyBorder="1" applyAlignment="1">
      <alignment vertical="center"/>
    </xf>
    <xf numFmtId="3" fontId="33" fillId="0" borderId="218" xfId="0" applyNumberFormat="1" applyFont="1" applyBorder="1" applyAlignment="1">
      <alignment vertical="center"/>
    </xf>
    <xf numFmtId="3" fontId="33" fillId="0" borderId="103" xfId="0" applyNumberFormat="1" applyFont="1" applyBorder="1" applyAlignment="1">
      <alignment vertical="center"/>
    </xf>
    <xf numFmtId="3" fontId="19" fillId="0" borderId="20" xfId="0" applyNumberFormat="1" applyFont="1" applyBorder="1"/>
    <xf numFmtId="3" fontId="33" fillId="0" borderId="111" xfId="0" applyNumberFormat="1" applyFont="1" applyBorder="1" applyAlignment="1">
      <alignment vertical="center"/>
    </xf>
    <xf numFmtId="3" fontId="33" fillId="0" borderId="187" xfId="0" applyNumberFormat="1" applyFont="1" applyBorder="1" applyAlignment="1">
      <alignment vertical="center"/>
    </xf>
    <xf numFmtId="3" fontId="23" fillId="0" borderId="122" xfId="0" applyNumberFormat="1" applyFont="1" applyBorder="1" applyAlignment="1">
      <alignment vertical="center"/>
    </xf>
    <xf numFmtId="3" fontId="33" fillId="0" borderId="123" xfId="0" applyNumberFormat="1" applyFont="1" applyBorder="1" applyAlignment="1">
      <alignment vertical="center"/>
    </xf>
    <xf numFmtId="3" fontId="20" fillId="0" borderId="55" xfId="0" applyNumberFormat="1" applyFont="1" applyBorder="1" applyAlignment="1">
      <alignment vertical="center"/>
    </xf>
    <xf numFmtId="3" fontId="33" fillId="0" borderId="183" xfId="0" applyNumberFormat="1" applyFont="1" applyBorder="1" applyAlignment="1">
      <alignment vertical="center"/>
    </xf>
    <xf numFmtId="3" fontId="20" fillId="0" borderId="55" xfId="0" applyNumberFormat="1" applyFont="1" applyBorder="1" applyAlignment="1">
      <alignment horizontal="right"/>
    </xf>
    <xf numFmtId="3" fontId="20" fillId="0" borderId="20" xfId="0" applyNumberFormat="1" applyFont="1" applyBorder="1"/>
    <xf numFmtId="3" fontId="20" fillId="0" borderId="22" xfId="0" applyNumberFormat="1" applyFont="1" applyBorder="1"/>
    <xf numFmtId="3" fontId="20" fillId="0" borderId="55" xfId="0" applyNumberFormat="1" applyFont="1" applyBorder="1" applyAlignment="1">
      <alignment horizontal="right" vertical="center"/>
    </xf>
    <xf numFmtId="3" fontId="17" fillId="0" borderId="20" xfId="0" applyNumberFormat="1" applyFont="1" applyBorder="1" applyAlignment="1">
      <alignment horizontal="right" vertical="center"/>
    </xf>
    <xf numFmtId="3" fontId="34" fillId="0" borderId="111" xfId="0" applyNumberFormat="1" applyFont="1" applyBorder="1" applyAlignment="1">
      <alignment horizontal="right" vertical="center"/>
    </xf>
    <xf numFmtId="3" fontId="17" fillId="0" borderId="111" xfId="0" applyNumberFormat="1" applyFont="1" applyBorder="1" applyAlignment="1">
      <alignment horizontal="right" vertical="center"/>
    </xf>
    <xf numFmtId="3" fontId="17" fillId="0" borderId="111" xfId="0" applyNumberFormat="1" applyFont="1" applyBorder="1" applyAlignment="1">
      <alignment horizontal="right" vertical="top"/>
    </xf>
    <xf numFmtId="3" fontId="34" fillId="0" borderId="130" xfId="0" applyNumberFormat="1" applyFont="1" applyBorder="1" applyAlignment="1">
      <alignment horizontal="right" vertical="center"/>
    </xf>
    <xf numFmtId="3" fontId="34" fillId="0" borderId="136" xfId="0" applyNumberFormat="1" applyFont="1" applyBorder="1" applyAlignment="1">
      <alignment horizontal="right" vertical="center"/>
    </xf>
    <xf numFmtId="3" fontId="20" fillId="0" borderId="230" xfId="0" applyNumberFormat="1" applyFont="1" applyBorder="1"/>
    <xf numFmtId="3" fontId="20" fillId="0" borderId="231" xfId="0" applyNumberFormat="1" applyFont="1" applyBorder="1"/>
    <xf numFmtId="3" fontId="20" fillId="0" borderId="229" xfId="0" applyNumberFormat="1" applyFont="1" applyBorder="1"/>
    <xf numFmtId="3" fontId="23" fillId="0" borderId="232" xfId="0" applyNumberFormat="1" applyFont="1" applyBorder="1"/>
    <xf numFmtId="3" fontId="19" fillId="0" borderId="54" xfId="0" applyNumberFormat="1" applyFont="1" applyBorder="1"/>
    <xf numFmtId="3" fontId="33" fillId="0" borderId="14" xfId="30" applyNumberFormat="1" applyFont="1" applyBorder="1" applyAlignment="1">
      <alignment horizontal="left"/>
    </xf>
    <xf numFmtId="3" fontId="24" fillId="0" borderId="18" xfId="0" applyNumberFormat="1" applyFont="1" applyBorder="1"/>
    <xf numFmtId="3" fontId="10" fillId="0" borderId="12" xfId="26" applyNumberFormat="1" applyFont="1" applyBorder="1" applyAlignment="1">
      <alignment horizontal="center" vertical="center" wrapText="1"/>
    </xf>
    <xf numFmtId="3" fontId="12" fillId="0" borderId="88" xfId="26" applyNumberFormat="1" applyFont="1" applyBorder="1" applyAlignment="1">
      <alignment horizontal="right" wrapText="1"/>
    </xf>
    <xf numFmtId="3" fontId="17" fillId="0" borderId="110" xfId="27" applyNumberFormat="1" applyFont="1" applyBorder="1" applyAlignment="1">
      <alignment horizontal="center" vertical="center" wrapText="1"/>
    </xf>
    <xf numFmtId="3" fontId="17" fillId="0" borderId="22" xfId="27" applyNumberFormat="1" applyFont="1" applyBorder="1" applyAlignment="1">
      <alignment horizontal="right"/>
    </xf>
    <xf numFmtId="3" fontId="10" fillId="0" borderId="160" xfId="27" applyNumberFormat="1" applyFont="1" applyBorder="1" applyAlignment="1">
      <alignment horizontal="center" vertical="center"/>
    </xf>
    <xf numFmtId="3" fontId="33" fillId="0" borderId="20" xfId="27" applyNumberFormat="1" applyFont="1" applyBorder="1" applyAlignment="1">
      <alignment horizontal="right"/>
    </xf>
    <xf numFmtId="3" fontId="33" fillId="0" borderId="22" xfId="27" applyNumberFormat="1" applyFont="1" applyBorder="1" applyAlignment="1">
      <alignment horizontal="right"/>
    </xf>
    <xf numFmtId="3" fontId="17" fillId="0" borderId="20" xfId="27" applyNumberFormat="1" applyFont="1" applyBorder="1"/>
    <xf numFmtId="3" fontId="17" fillId="0" borderId="160" xfId="27" applyNumberFormat="1" applyFont="1" applyBorder="1" applyAlignment="1">
      <alignment horizontal="right"/>
    </xf>
    <xf numFmtId="3" fontId="17" fillId="0" borderId="111" xfId="27" applyNumberFormat="1" applyFont="1" applyBorder="1" applyAlignment="1">
      <alignment horizontal="right"/>
    </xf>
    <xf numFmtId="3" fontId="17" fillId="0" borderId="128" xfId="27" applyNumberFormat="1" applyFont="1" applyBorder="1" applyAlignment="1">
      <alignment horizontal="right"/>
    </xf>
    <xf numFmtId="3" fontId="17" fillId="0" borderId="220" xfId="27" applyNumberFormat="1" applyFont="1" applyBorder="1" applyAlignment="1">
      <alignment horizontal="right"/>
    </xf>
    <xf numFmtId="3" fontId="33" fillId="0" borderId="130" xfId="0" applyNumberFormat="1" applyFont="1" applyBorder="1" applyAlignment="1">
      <alignment vertical="center"/>
    </xf>
    <xf numFmtId="3" fontId="33" fillId="0" borderId="160" xfId="0" applyNumberFormat="1" applyFont="1" applyBorder="1" applyAlignment="1">
      <alignment vertical="center"/>
    </xf>
    <xf numFmtId="3" fontId="33" fillId="0" borderId="193" xfId="0" applyNumberFormat="1" applyFont="1" applyBorder="1" applyAlignment="1">
      <alignment vertical="center"/>
    </xf>
    <xf numFmtId="3" fontId="19" fillId="0" borderId="159" xfId="0" applyNumberFormat="1" applyFont="1" applyBorder="1" applyAlignment="1">
      <alignment wrapText="1"/>
    </xf>
    <xf numFmtId="0" fontId="0" fillId="0" borderId="160" xfId="0" applyBorder="1" applyAlignment="1">
      <alignment horizontal="left" wrapText="1"/>
    </xf>
    <xf numFmtId="0" fontId="0" fillId="0" borderId="161" xfId="0" applyBorder="1" applyAlignment="1">
      <alignment horizontal="left" wrapText="1"/>
    </xf>
    <xf numFmtId="3" fontId="10" fillId="0" borderId="111" xfId="27" applyNumberFormat="1" applyFont="1" applyBorder="1" applyAlignment="1">
      <alignment horizontal="center" vertical="center"/>
    </xf>
    <xf numFmtId="3" fontId="20" fillId="0" borderId="120" xfId="30" applyNumberFormat="1" applyFont="1" applyBorder="1"/>
    <xf numFmtId="3" fontId="17" fillId="0" borderId="121" xfId="27" applyNumberFormat="1" applyFont="1" applyBorder="1" applyAlignment="1">
      <alignment horizontal="center"/>
    </xf>
    <xf numFmtId="3" fontId="20" fillId="0" borderId="221" xfId="0" applyNumberFormat="1" applyFont="1" applyBorder="1" applyAlignment="1">
      <alignment horizontal="right" wrapText="1"/>
    </xf>
    <xf numFmtId="3" fontId="33" fillId="0" borderId="21" xfId="27" applyNumberFormat="1" applyFont="1" applyBorder="1" applyAlignment="1">
      <alignment horizontal="right"/>
    </xf>
    <xf numFmtId="3" fontId="10" fillId="0" borderId="18" xfId="0" applyNumberFormat="1" applyFont="1" applyBorder="1" applyAlignment="1">
      <alignment vertical="center"/>
    </xf>
    <xf numFmtId="3" fontId="13" fillId="0" borderId="0" xfId="0" applyNumberFormat="1" applyFont="1" applyAlignment="1">
      <alignment horizontal="right"/>
    </xf>
    <xf numFmtId="3" fontId="13" fillId="0" borderId="0" xfId="0" applyNumberFormat="1" applyFont="1" applyAlignment="1">
      <alignment horizontal="right" vertical="center"/>
    </xf>
    <xf numFmtId="3" fontId="13" fillId="0" borderId="9" xfId="0" applyNumberFormat="1" applyFont="1" applyBorder="1" applyAlignment="1">
      <alignment horizontal="right"/>
    </xf>
    <xf numFmtId="3" fontId="20" fillId="0" borderId="182" xfId="0" applyNumberFormat="1" applyFont="1" applyBorder="1"/>
    <xf numFmtId="3" fontId="20" fillId="0" borderId="24" xfId="0" applyNumberFormat="1" applyFont="1" applyBorder="1"/>
    <xf numFmtId="3" fontId="33" fillId="0" borderId="16" xfId="0" applyNumberFormat="1" applyFont="1" applyBorder="1" applyAlignment="1">
      <alignment horizontal="right" vertical="center"/>
    </xf>
    <xf numFmtId="3" fontId="33" fillId="0" borderId="17" xfId="0" applyNumberFormat="1" applyFont="1" applyBorder="1" applyAlignment="1">
      <alignment horizontal="right" vertical="center"/>
    </xf>
    <xf numFmtId="3" fontId="23" fillId="0" borderId="86" xfId="0" applyNumberFormat="1" applyFont="1" applyBorder="1" applyAlignment="1">
      <alignment horizontal="right" vertical="center"/>
    </xf>
    <xf numFmtId="3" fontId="17" fillId="0" borderId="17" xfId="0" applyNumberFormat="1" applyFont="1" applyBorder="1" applyAlignment="1">
      <alignment horizontal="right" vertical="center"/>
    </xf>
    <xf numFmtId="3" fontId="33" fillId="0" borderId="86" xfId="0" applyNumberFormat="1" applyFont="1" applyBorder="1" applyAlignment="1">
      <alignment horizontal="right" vertical="center"/>
    </xf>
    <xf numFmtId="3" fontId="33" fillId="0" borderId="98" xfId="0" applyNumberFormat="1" applyFont="1" applyBorder="1" applyAlignment="1">
      <alignment horizontal="right" vertical="center"/>
    </xf>
    <xf numFmtId="3" fontId="19" fillId="0" borderId="35" xfId="0" applyNumberFormat="1" applyFont="1" applyBorder="1" applyAlignment="1">
      <alignment horizontal="right" vertical="center"/>
    </xf>
    <xf numFmtId="3" fontId="19" fillId="0" borderId="36" xfId="0" applyNumberFormat="1" applyFont="1" applyBorder="1" applyAlignment="1">
      <alignment horizontal="right" vertical="center"/>
    </xf>
    <xf numFmtId="3" fontId="20" fillId="0" borderId="118" xfId="0" applyNumberFormat="1" applyFont="1" applyBorder="1" applyAlignment="1">
      <alignment horizontal="right" vertical="center"/>
    </xf>
    <xf numFmtId="3" fontId="20" fillId="0" borderId="116" xfId="0" applyNumberFormat="1" applyFont="1" applyBorder="1" applyAlignment="1">
      <alignment horizontal="right" vertical="center"/>
    </xf>
    <xf numFmtId="3" fontId="20" fillId="0" borderId="17" xfId="0" applyNumberFormat="1" applyFont="1" applyBorder="1" applyAlignment="1">
      <alignment horizontal="right"/>
    </xf>
    <xf numFmtId="3" fontId="23" fillId="0" borderId="106" xfId="31" applyNumberFormat="1" applyFont="1" applyBorder="1" applyAlignment="1" applyProtection="1">
      <alignment horizontal="right" vertical="center"/>
      <protection locked="0"/>
    </xf>
    <xf numFmtId="3" fontId="23" fillId="0" borderId="49" xfId="31" applyNumberFormat="1" applyFont="1" applyBorder="1" applyAlignment="1" applyProtection="1">
      <alignment horizontal="right" vertical="center"/>
      <protection locked="0"/>
    </xf>
    <xf numFmtId="0" fontId="56" fillId="0" borderId="0" xfId="0" applyFont="1" applyAlignment="1">
      <alignment horizontal="center" vertical="top"/>
    </xf>
    <xf numFmtId="0" fontId="10" fillId="0" borderId="0" xfId="0" applyFont="1" applyAlignment="1">
      <alignment horizontal="center" wrapText="1"/>
    </xf>
    <xf numFmtId="0" fontId="12" fillId="0" borderId="0" xfId="0" applyFont="1" applyAlignment="1">
      <alignment vertical="top"/>
    </xf>
    <xf numFmtId="0" fontId="12" fillId="0" borderId="0" xfId="0" applyFont="1" applyAlignment="1">
      <alignment wrapText="1"/>
    </xf>
    <xf numFmtId="0" fontId="24" fillId="0" borderId="0" xfId="0" applyFont="1"/>
    <xf numFmtId="3" fontId="13" fillId="0" borderId="0" xfId="0" applyNumberFormat="1" applyFont="1"/>
    <xf numFmtId="0" fontId="10" fillId="0" borderId="0" xfId="0" applyFont="1" applyAlignment="1">
      <alignment shrinkToFit="1"/>
    </xf>
    <xf numFmtId="3" fontId="13" fillId="0" borderId="0" xfId="30" applyNumberFormat="1" applyFont="1" applyAlignment="1">
      <alignment wrapText="1"/>
    </xf>
    <xf numFmtId="0" fontId="13" fillId="0" borderId="0" xfId="0" applyFont="1" applyAlignment="1">
      <alignment wrapText="1"/>
    </xf>
    <xf numFmtId="0" fontId="13" fillId="0" borderId="0" xfId="0" applyFont="1" applyAlignment="1">
      <alignment vertical="top"/>
    </xf>
    <xf numFmtId="0" fontId="59" fillId="0" borderId="0" xfId="0" applyFont="1" applyAlignment="1">
      <alignment wrapText="1"/>
    </xf>
    <xf numFmtId="0" fontId="13" fillId="0" borderId="0" xfId="0" applyFont="1"/>
    <xf numFmtId="0" fontId="13" fillId="0" borderId="0" xfId="0" applyFont="1" applyAlignment="1">
      <alignment shrinkToFit="1"/>
    </xf>
    <xf numFmtId="0" fontId="10" fillId="0" borderId="0" xfId="0" applyFont="1" applyAlignment="1">
      <alignment horizontal="left" indent="2" shrinkToFit="1"/>
    </xf>
    <xf numFmtId="0" fontId="13" fillId="0" borderId="0" xfId="0" applyFont="1" applyAlignment="1">
      <alignment vertical="center"/>
    </xf>
    <xf numFmtId="3" fontId="24" fillId="0" borderId="0" xfId="0" applyNumberFormat="1" applyFont="1" applyAlignment="1">
      <alignment vertical="center"/>
    </xf>
    <xf numFmtId="3" fontId="59" fillId="0" borderId="0" xfId="0" applyNumberFormat="1" applyFont="1"/>
    <xf numFmtId="165" fontId="13" fillId="0" borderId="95" xfId="0" applyNumberFormat="1" applyFont="1" applyBorder="1" applyAlignment="1">
      <alignment horizontal="left" vertical="top" wrapText="1"/>
    </xf>
    <xf numFmtId="4" fontId="13" fillId="0" borderId="95" xfId="0" applyNumberFormat="1" applyFont="1" applyBorder="1"/>
    <xf numFmtId="4" fontId="13" fillId="0" borderId="6" xfId="0" applyNumberFormat="1" applyFont="1" applyBorder="1" applyAlignment="1">
      <alignment vertical="center"/>
    </xf>
    <xf numFmtId="4" fontId="13" fillId="0" borderId="6" xfId="0" applyNumberFormat="1" applyFont="1" applyBorder="1"/>
    <xf numFmtId="0" fontId="10" fillId="0" borderId="113" xfId="31" applyFont="1" applyBorder="1" applyAlignment="1">
      <alignment horizontal="center" vertical="top"/>
    </xf>
    <xf numFmtId="3" fontId="10" fillId="0" borderId="98" xfId="28" applyNumberFormat="1" applyFont="1" applyBorder="1" applyAlignment="1">
      <alignment horizontal="right" vertical="center" wrapText="1"/>
    </xf>
    <xf numFmtId="3" fontId="45" fillId="0" borderId="221" xfId="28" applyNumberFormat="1" applyFont="1" applyBorder="1" applyAlignment="1">
      <alignment horizontal="right" vertical="center" wrapText="1"/>
    </xf>
    <xf numFmtId="3" fontId="12" fillId="0" borderId="98" xfId="28" applyNumberFormat="1" applyFont="1" applyBorder="1" applyAlignment="1">
      <alignment horizontal="right" vertical="center" wrapText="1"/>
    </xf>
    <xf numFmtId="3" fontId="12" fillId="0" borderId="130" xfId="28" applyNumberFormat="1" applyFont="1" applyBorder="1" applyAlignment="1">
      <alignment horizontal="right" vertical="center" wrapText="1"/>
    </xf>
    <xf numFmtId="3" fontId="20" fillId="0" borderId="98" xfId="28" applyNumberFormat="1" applyFont="1" applyBorder="1" applyAlignment="1">
      <alignment horizontal="right" vertical="center" wrapText="1"/>
    </xf>
    <xf numFmtId="3" fontId="17" fillId="0" borderId="35" xfId="31" applyNumberFormat="1" applyFont="1" applyBorder="1" applyAlignment="1">
      <alignment horizontal="right" vertical="center"/>
    </xf>
    <xf numFmtId="3" fontId="17" fillId="0" borderId="21" xfId="31" applyNumberFormat="1" applyFont="1" applyBorder="1" applyAlignment="1" applyProtection="1">
      <alignment horizontal="left"/>
      <protection locked="0"/>
    </xf>
    <xf numFmtId="3" fontId="20" fillId="0" borderId="106" xfId="31" applyNumberFormat="1" applyFont="1" applyBorder="1" applyAlignment="1" applyProtection="1">
      <alignment horizontal="right" vertical="center"/>
      <protection locked="0"/>
    </xf>
    <xf numFmtId="3" fontId="20" fillId="0" borderId="49" xfId="31" applyNumberFormat="1" applyFont="1" applyBorder="1" applyAlignment="1" applyProtection="1">
      <alignment horizontal="right" vertical="center"/>
      <protection locked="0"/>
    </xf>
    <xf numFmtId="3" fontId="17" fillId="0" borderId="21" xfId="31" applyNumberFormat="1" applyFont="1" applyBorder="1" applyAlignment="1" applyProtection="1">
      <alignment horizontal="right" vertical="center"/>
      <protection locked="0"/>
    </xf>
    <xf numFmtId="3" fontId="12" fillId="0" borderId="0" xfId="0" applyNumberFormat="1" applyFont="1" applyAlignment="1">
      <alignment horizontal="right"/>
    </xf>
    <xf numFmtId="3" fontId="10" fillId="0" borderId="0" xfId="0" applyNumberFormat="1" applyFont="1" applyAlignment="1">
      <alignment horizontal="right" vertical="top"/>
    </xf>
    <xf numFmtId="3" fontId="12" fillId="0" borderId="8" xfId="0" applyNumberFormat="1" applyFont="1" applyBorder="1" applyAlignment="1">
      <alignment horizontal="right" vertical="center"/>
    </xf>
    <xf numFmtId="3" fontId="12" fillId="0" borderId="27" xfId="0" applyNumberFormat="1" applyFont="1" applyBorder="1" applyAlignment="1">
      <alignment horizontal="right" vertical="center"/>
    </xf>
    <xf numFmtId="3" fontId="12" fillId="0" borderId="28" xfId="0" applyNumberFormat="1" applyFont="1" applyBorder="1" applyAlignment="1">
      <alignment horizontal="right" vertical="center"/>
    </xf>
    <xf numFmtId="3" fontId="12" fillId="0" borderId="29" xfId="0" applyNumberFormat="1" applyFont="1" applyBorder="1" applyAlignment="1">
      <alignment horizontal="right" vertical="center"/>
    </xf>
    <xf numFmtId="3" fontId="12" fillId="0" borderId="234" xfId="26" applyNumberFormat="1" applyFont="1" applyBorder="1" applyAlignment="1">
      <alignment horizontal="right" wrapText="1"/>
    </xf>
    <xf numFmtId="3" fontId="12" fillId="0" borderId="9" xfId="0" applyNumberFormat="1" applyFont="1" applyBorder="1" applyAlignment="1">
      <alignment horizontal="right"/>
    </xf>
    <xf numFmtId="3" fontId="12" fillId="0" borderId="234" xfId="0" applyNumberFormat="1" applyFont="1" applyBorder="1" applyAlignment="1">
      <alignment horizontal="right"/>
    </xf>
    <xf numFmtId="3" fontId="12" fillId="0" borderId="10" xfId="0" applyNumberFormat="1" applyFont="1" applyBorder="1" applyAlignment="1">
      <alignment horizontal="right" vertical="center"/>
    </xf>
    <xf numFmtId="3" fontId="20" fillId="0" borderId="16" xfId="27" applyNumberFormat="1" applyFont="1" applyBorder="1" applyAlignment="1">
      <alignment horizontal="right"/>
    </xf>
    <xf numFmtId="3" fontId="20" fillId="0" borderId="86" xfId="27" applyNumberFormat="1" applyFont="1" applyBorder="1" applyAlignment="1">
      <alignment horizontal="right"/>
    </xf>
    <xf numFmtId="3" fontId="17" fillId="0" borderId="16" xfId="0" applyNumberFormat="1" applyFont="1" applyBorder="1" applyAlignment="1">
      <alignment horizontal="right" vertical="center" wrapText="1"/>
    </xf>
    <xf numFmtId="3" fontId="19" fillId="0" borderId="86" xfId="27" applyNumberFormat="1" applyFont="1" applyBorder="1" applyAlignment="1">
      <alignment horizontal="right"/>
    </xf>
    <xf numFmtId="3" fontId="20" fillId="0" borderId="20" xfId="27" applyNumberFormat="1" applyFont="1" applyBorder="1" applyAlignment="1">
      <alignment horizontal="right"/>
    </xf>
    <xf numFmtId="3" fontId="20" fillId="0" borderId="37" xfId="27" applyNumberFormat="1" applyFont="1" applyBorder="1" applyAlignment="1">
      <alignment horizontal="center"/>
    </xf>
    <xf numFmtId="0" fontId="17" fillId="0" borderId="20" xfId="0" applyFont="1" applyBorder="1" applyAlignment="1">
      <alignment horizontal="left" wrapText="1"/>
    </xf>
    <xf numFmtId="3" fontId="23" fillId="0" borderId="86" xfId="27" applyNumberFormat="1" applyFont="1" applyBorder="1" applyAlignment="1">
      <alignment horizontal="right"/>
    </xf>
    <xf numFmtId="3" fontId="10" fillId="0" borderId="21" xfId="27" applyNumberFormat="1" applyFont="1" applyBorder="1"/>
    <xf numFmtId="3" fontId="20" fillId="0" borderId="35" xfId="27" applyNumberFormat="1" applyFont="1" applyBorder="1" applyAlignment="1">
      <alignment horizontal="right"/>
    </xf>
    <xf numFmtId="3" fontId="19" fillId="0" borderId="98" xfId="0" applyNumberFormat="1" applyFont="1" applyBorder="1" applyAlignment="1">
      <alignment horizontal="right" wrapText="1"/>
    </xf>
    <xf numFmtId="3" fontId="20" fillId="0" borderId="98" xfId="0" applyNumberFormat="1" applyFont="1" applyBorder="1" applyAlignment="1">
      <alignment horizontal="right" wrapText="1"/>
    </xf>
    <xf numFmtId="3" fontId="33" fillId="0" borderId="220" xfId="0" applyNumberFormat="1" applyFont="1" applyBorder="1" applyAlignment="1">
      <alignment vertical="center"/>
    </xf>
    <xf numFmtId="3" fontId="17" fillId="0" borderId="98" xfId="0" applyNumberFormat="1" applyFont="1" applyBorder="1" applyAlignment="1">
      <alignment horizontal="center" wrapText="1"/>
    </xf>
    <xf numFmtId="3" fontId="20" fillId="0" borderId="98" xfId="0" applyNumberFormat="1" applyFont="1" applyBorder="1" applyAlignment="1">
      <alignment vertical="center"/>
    </xf>
    <xf numFmtId="3" fontId="20" fillId="0" borderId="54" xfId="0" applyNumberFormat="1" applyFont="1" applyBorder="1" applyAlignment="1">
      <alignment horizontal="right"/>
    </xf>
    <xf numFmtId="3" fontId="20" fillId="0" borderId="53" xfId="0" applyNumberFormat="1" applyFont="1" applyBorder="1" applyAlignment="1">
      <alignment horizontal="right"/>
    </xf>
    <xf numFmtId="3" fontId="17" fillId="0" borderId="35" xfId="0" applyNumberFormat="1" applyFont="1" applyBorder="1" applyAlignment="1">
      <alignment horizontal="right" wrapText="1"/>
    </xf>
    <xf numFmtId="3" fontId="23" fillId="0" borderId="17" xfId="0" applyNumberFormat="1" applyFont="1" applyBorder="1"/>
    <xf numFmtId="3" fontId="23" fillId="0" borderId="24" xfId="0" applyNumberFormat="1" applyFont="1" applyBorder="1"/>
    <xf numFmtId="3" fontId="33" fillId="0" borderId="229" xfId="0" applyNumberFormat="1" applyFont="1" applyBorder="1"/>
    <xf numFmtId="3" fontId="33" fillId="0" borderId="230" xfId="0" applyNumberFormat="1" applyFont="1" applyBorder="1"/>
    <xf numFmtId="3" fontId="33" fillId="0" borderId="232" xfId="0" applyNumberFormat="1" applyFont="1" applyBorder="1"/>
    <xf numFmtId="3" fontId="20" fillId="0" borderId="98" xfId="0" applyNumberFormat="1" applyFont="1" applyBorder="1"/>
    <xf numFmtId="3" fontId="23" fillId="0" borderId="221" xfId="0" applyNumberFormat="1" applyFont="1" applyBorder="1"/>
    <xf numFmtId="3" fontId="20" fillId="0" borderId="35" xfId="30" applyNumberFormat="1" applyFont="1" applyBorder="1"/>
    <xf numFmtId="3" fontId="23" fillId="0" borderId="36" xfId="0" applyNumberFormat="1" applyFont="1" applyBorder="1"/>
    <xf numFmtId="3" fontId="33" fillId="0" borderId="181" xfId="0" applyNumberFormat="1" applyFont="1" applyBorder="1" applyAlignment="1">
      <alignment horizontal="center" vertical="center"/>
    </xf>
    <xf numFmtId="3" fontId="20" fillId="0" borderId="36" xfId="0" applyNumberFormat="1" applyFont="1" applyBorder="1"/>
    <xf numFmtId="3" fontId="20" fillId="0" borderId="121" xfId="0" applyNumberFormat="1" applyFont="1" applyBorder="1"/>
    <xf numFmtId="3" fontId="20" fillId="0" borderId="181" xfId="0" applyNumberFormat="1" applyFont="1" applyBorder="1" applyAlignment="1">
      <alignment horizontal="center" vertical="center"/>
    </xf>
    <xf numFmtId="3" fontId="20" fillId="0" borderId="113" xfId="0" applyNumberFormat="1" applyFont="1" applyBorder="1" applyAlignment="1">
      <alignment horizontal="center" vertical="center"/>
    </xf>
    <xf numFmtId="3" fontId="20" fillId="0" borderId="37" xfId="0" applyNumberFormat="1" applyFont="1" applyBorder="1" applyAlignment="1">
      <alignment horizontal="right"/>
    </xf>
    <xf numFmtId="3" fontId="20" fillId="0" borderId="35" xfId="0" applyNumberFormat="1" applyFont="1" applyBorder="1" applyAlignment="1">
      <alignment horizontal="right" vertical="center"/>
    </xf>
    <xf numFmtId="3" fontId="33" fillId="0" borderId="98" xfId="0" applyNumberFormat="1" applyFont="1" applyBorder="1" applyAlignment="1">
      <alignment horizontal="center"/>
    </xf>
    <xf numFmtId="3" fontId="20" fillId="0" borderId="86" xfId="0" applyNumberFormat="1" applyFont="1" applyBorder="1" applyAlignment="1">
      <alignment horizontal="right" vertical="center"/>
    </xf>
    <xf numFmtId="3" fontId="20" fillId="0" borderId="98" xfId="0" applyNumberFormat="1" applyFont="1" applyBorder="1" applyAlignment="1">
      <alignment horizontal="right" vertical="center"/>
    </xf>
    <xf numFmtId="3" fontId="20" fillId="0" borderId="36" xfId="0" applyNumberFormat="1" applyFont="1" applyBorder="1" applyAlignment="1">
      <alignment horizontal="right"/>
    </xf>
    <xf numFmtId="3" fontId="20" fillId="0" borderId="36" xfId="0" applyNumberFormat="1" applyFont="1" applyBorder="1" applyAlignment="1">
      <alignment horizontal="right" vertical="center"/>
    </xf>
    <xf numFmtId="3" fontId="60" fillId="0" borderId="22" xfId="0" applyNumberFormat="1" applyFont="1" applyBorder="1" applyAlignment="1">
      <alignment horizontal="center"/>
    </xf>
    <xf numFmtId="0" fontId="10" fillId="2" borderId="0" xfId="0" applyFont="1" applyFill="1" applyAlignment="1">
      <alignment horizontal="left" wrapText="1" indent="2"/>
    </xf>
    <xf numFmtId="3" fontId="19" fillId="0" borderId="16" xfId="31" applyNumberFormat="1" applyFont="1" applyBorder="1" applyAlignment="1" applyProtection="1">
      <alignment wrapText="1"/>
      <protection locked="0"/>
    </xf>
    <xf numFmtId="3" fontId="10" fillId="2" borderId="0" xfId="0" applyNumberFormat="1" applyFont="1" applyFill="1"/>
    <xf numFmtId="3" fontId="19" fillId="0" borderId="133" xfId="0" applyNumberFormat="1" applyFont="1" applyBorder="1" applyAlignment="1">
      <alignment horizontal="right" wrapText="1"/>
    </xf>
    <xf numFmtId="3" fontId="12" fillId="0" borderId="53" xfId="31" applyNumberFormat="1" applyFont="1" applyBorder="1" applyAlignment="1">
      <alignment horizontal="right"/>
    </xf>
    <xf numFmtId="3" fontId="10" fillId="0" borderId="53" xfId="31" applyNumberFormat="1" applyFont="1" applyBorder="1" applyAlignment="1">
      <alignment horizontal="right"/>
    </xf>
    <xf numFmtId="3" fontId="37" fillId="0" borderId="18" xfId="31" applyNumberFormat="1" applyFont="1" applyBorder="1" applyAlignment="1">
      <alignment horizontal="right"/>
    </xf>
    <xf numFmtId="4" fontId="14" fillId="0" borderId="18" xfId="0" applyNumberFormat="1" applyFont="1" applyBorder="1" applyAlignment="1">
      <alignment horizontal="center" shrinkToFit="1"/>
    </xf>
    <xf numFmtId="0" fontId="10" fillId="0" borderId="16" xfId="28" applyFont="1" applyBorder="1" applyAlignment="1">
      <alignment wrapText="1" shrinkToFit="1"/>
    </xf>
    <xf numFmtId="0" fontId="17" fillId="0" borderId="21" xfId="31" applyFont="1" applyBorder="1" applyAlignment="1" applyProtection="1">
      <alignment horizontal="left"/>
      <protection locked="0"/>
    </xf>
    <xf numFmtId="3" fontId="17" fillId="0" borderId="141" xfId="27" applyNumberFormat="1" applyFont="1" applyBorder="1" applyAlignment="1" applyProtection="1">
      <alignment horizontal="center" vertical="center" textRotation="90"/>
      <protection locked="0"/>
    </xf>
    <xf numFmtId="3" fontId="28" fillId="0" borderId="33" xfId="30" applyNumberFormat="1" applyFont="1" applyBorder="1" applyAlignment="1" applyProtection="1">
      <alignment horizontal="left"/>
      <protection locked="0"/>
    </xf>
    <xf numFmtId="0" fontId="20" fillId="0" borderId="105" xfId="31" applyFont="1" applyBorder="1" applyAlignment="1" applyProtection="1">
      <alignment horizontal="center" vertical="center" wrapText="1"/>
      <protection locked="0"/>
    </xf>
    <xf numFmtId="3" fontId="17" fillId="0" borderId="105" xfId="31" applyNumberFormat="1" applyFont="1" applyBorder="1" applyAlignment="1" applyProtection="1">
      <alignment horizontal="center" vertical="center" wrapText="1"/>
      <protection locked="0"/>
    </xf>
    <xf numFmtId="3" fontId="20" fillId="0" borderId="235" xfId="31" applyNumberFormat="1" applyFont="1" applyBorder="1" applyAlignment="1" applyProtection="1">
      <alignment horizontal="center" vertical="center" wrapText="1"/>
      <protection locked="0"/>
    </xf>
    <xf numFmtId="3" fontId="20" fillId="0" borderId="236" xfId="31" applyNumberFormat="1" applyFont="1" applyBorder="1" applyAlignment="1" applyProtection="1">
      <alignment horizontal="center" vertical="center" wrapText="1"/>
      <protection locked="0"/>
    </xf>
    <xf numFmtId="0" fontId="17" fillId="0" borderId="33" xfId="31" applyFont="1" applyBorder="1" applyAlignment="1" applyProtection="1">
      <alignment horizontal="center" vertical="center" textRotation="90" wrapText="1"/>
      <protection locked="0"/>
    </xf>
    <xf numFmtId="3" fontId="17" fillId="0" borderId="33" xfId="31" applyNumberFormat="1" applyFont="1" applyBorder="1" applyAlignment="1" applyProtection="1">
      <alignment horizontal="center" vertical="center" wrapText="1"/>
      <protection locked="0"/>
    </xf>
    <xf numFmtId="3" fontId="20" fillId="0" borderId="33" xfId="31" applyNumberFormat="1" applyFont="1" applyBorder="1" applyAlignment="1" applyProtection="1">
      <alignment horizontal="center" vertical="center" wrapText="1"/>
      <protection locked="0"/>
    </xf>
    <xf numFmtId="0" fontId="19" fillId="0" borderId="33" xfId="31" applyFont="1" applyBorder="1" applyAlignment="1" applyProtection="1">
      <alignment horizontal="center" vertical="center"/>
      <protection locked="0"/>
    </xf>
    <xf numFmtId="0" fontId="20" fillId="0" borderId="33" xfId="32" applyFont="1" applyBorder="1" applyAlignment="1" applyProtection="1">
      <alignment horizontal="center" vertical="center"/>
      <protection locked="0"/>
    </xf>
    <xf numFmtId="3" fontId="20" fillId="0" borderId="33" xfId="32" applyNumberFormat="1" applyFont="1" applyBorder="1" applyAlignment="1" applyProtection="1">
      <alignment vertical="center"/>
      <protection locked="0"/>
    </xf>
    <xf numFmtId="3" fontId="20" fillId="0" borderId="33" xfId="31" applyNumberFormat="1" applyFont="1" applyBorder="1" applyAlignment="1" applyProtection="1">
      <alignment vertical="center"/>
      <protection locked="0"/>
    </xf>
    <xf numFmtId="3" fontId="20" fillId="0" borderId="33" xfId="31" applyNumberFormat="1" applyFont="1" applyBorder="1" applyAlignment="1" applyProtection="1">
      <alignment horizontal="right" vertical="center"/>
      <protection locked="0"/>
    </xf>
    <xf numFmtId="3" fontId="23" fillId="0" borderId="33" xfId="31" applyNumberFormat="1" applyFont="1" applyBorder="1" applyAlignment="1" applyProtection="1">
      <alignment horizontal="right" vertical="center"/>
      <protection locked="0"/>
    </xf>
    <xf numFmtId="3" fontId="20" fillId="0" borderId="16" xfId="32" applyNumberFormat="1" applyFont="1" applyBorder="1" applyAlignment="1" applyProtection="1">
      <alignment vertical="center"/>
      <protection locked="0"/>
    </xf>
    <xf numFmtId="3" fontId="20" fillId="0" borderId="16" xfId="31" applyNumberFormat="1" applyFont="1" applyBorder="1" applyAlignment="1" applyProtection="1">
      <alignment vertical="center"/>
      <protection locked="0"/>
    </xf>
    <xf numFmtId="3" fontId="20" fillId="0" borderId="16" xfId="31" applyNumberFormat="1" applyFont="1" applyBorder="1" applyAlignment="1" applyProtection="1">
      <alignment horizontal="right" vertical="center"/>
      <protection locked="0"/>
    </xf>
    <xf numFmtId="3" fontId="23" fillId="0" borderId="16" xfId="31" applyNumberFormat="1" applyFont="1" applyBorder="1" applyAlignment="1" applyProtection="1">
      <alignment horizontal="right" vertical="center"/>
      <protection locked="0"/>
    </xf>
    <xf numFmtId="3" fontId="20" fillId="0" borderId="97" xfId="31" applyNumberFormat="1" applyFont="1" applyBorder="1" applyAlignment="1" applyProtection="1">
      <alignment horizontal="right" vertical="center"/>
      <protection locked="0"/>
    </xf>
    <xf numFmtId="3" fontId="20" fillId="0" borderId="86" xfId="31" applyNumberFormat="1" applyFont="1" applyBorder="1" applyAlignment="1" applyProtection="1">
      <alignment horizontal="right" vertical="center"/>
      <protection locked="0"/>
    </xf>
    <xf numFmtId="3" fontId="20" fillId="0" borderId="110" xfId="31" applyNumberFormat="1" applyFont="1" applyBorder="1" applyAlignment="1" applyProtection="1">
      <alignment horizontal="right" vertical="center"/>
      <protection locked="0"/>
    </xf>
    <xf numFmtId="3" fontId="20" fillId="0" borderId="111" xfId="31" applyNumberFormat="1" applyFont="1" applyBorder="1" applyAlignment="1" applyProtection="1">
      <alignment horizontal="right" vertical="center"/>
      <protection locked="0"/>
    </xf>
    <xf numFmtId="0" fontId="17" fillId="0" borderId="16" xfId="32" applyFont="1" applyBorder="1" applyAlignment="1" applyProtection="1">
      <alignment horizontal="center" vertical="center"/>
      <protection locked="0"/>
    </xf>
    <xf numFmtId="0" fontId="20" fillId="0" borderId="35" xfId="32" applyFont="1" applyBorder="1" applyAlignment="1" applyProtection="1">
      <alignment horizontal="center" vertical="center"/>
      <protection locked="0"/>
    </xf>
    <xf numFmtId="3" fontId="20" fillId="0" borderId="35" xfId="32" applyNumberFormat="1" applyFont="1" applyBorder="1" applyAlignment="1" applyProtection="1">
      <alignment vertical="center"/>
      <protection locked="0"/>
    </xf>
    <xf numFmtId="3" fontId="20" fillId="0" borderId="35" xfId="31" applyNumberFormat="1" applyFont="1" applyBorder="1" applyAlignment="1" applyProtection="1">
      <alignment vertical="center"/>
      <protection locked="0"/>
    </xf>
    <xf numFmtId="3" fontId="20" fillId="0" borderId="130" xfId="31" applyNumberFormat="1" applyFont="1" applyBorder="1" applyAlignment="1" applyProtection="1">
      <alignment horizontal="right" vertical="center"/>
      <protection locked="0"/>
    </xf>
    <xf numFmtId="3" fontId="20" fillId="0" borderId="98" xfId="31" applyNumberFormat="1" applyFont="1" applyBorder="1" applyAlignment="1" applyProtection="1">
      <alignment horizontal="right" vertical="center"/>
      <protection locked="0"/>
    </xf>
    <xf numFmtId="3" fontId="20" fillId="0" borderId="35" xfId="31" applyNumberFormat="1" applyFont="1" applyBorder="1" applyAlignment="1" applyProtection="1">
      <alignment horizontal="right" vertical="center"/>
      <protection locked="0"/>
    </xf>
    <xf numFmtId="3" fontId="19" fillId="0" borderId="35" xfId="31" applyNumberFormat="1" applyFont="1" applyBorder="1" applyAlignment="1" applyProtection="1">
      <alignment horizontal="right" vertical="center"/>
      <protection locked="0"/>
    </xf>
    <xf numFmtId="3" fontId="20" fillId="0" borderId="237" xfId="31" applyNumberFormat="1" applyFont="1" applyBorder="1" applyAlignment="1" applyProtection="1">
      <alignment horizontal="right" vertical="center"/>
      <protection locked="0"/>
    </xf>
    <xf numFmtId="3" fontId="20" fillId="0" borderId="100" xfId="31" applyNumberFormat="1" applyFont="1" applyBorder="1" applyAlignment="1" applyProtection="1">
      <alignment horizontal="right" vertical="center"/>
      <protection locked="0"/>
    </xf>
    <xf numFmtId="3" fontId="20" fillId="0" borderId="238" xfId="31" applyNumberFormat="1" applyFont="1" applyBorder="1" applyAlignment="1" applyProtection="1">
      <alignment horizontal="right" vertical="center"/>
      <protection locked="0"/>
    </xf>
    <xf numFmtId="0" fontId="20" fillId="0" borderId="32" xfId="32" applyFont="1" applyBorder="1" applyAlignment="1" applyProtection="1">
      <alignment horizontal="center" vertical="center"/>
      <protection locked="0"/>
    </xf>
    <xf numFmtId="3" fontId="20" fillId="0" borderId="34" xfId="31" applyNumberFormat="1" applyFont="1" applyBorder="1" applyAlignment="1" applyProtection="1">
      <alignment horizontal="right" vertical="center"/>
      <protection locked="0"/>
    </xf>
    <xf numFmtId="3" fontId="20" fillId="0" borderId="17" xfId="31" applyNumberFormat="1" applyFont="1" applyBorder="1" applyAlignment="1" applyProtection="1">
      <alignment horizontal="right" vertical="center"/>
      <protection locked="0"/>
    </xf>
    <xf numFmtId="0" fontId="20" fillId="0" borderId="15" xfId="32" applyFont="1" applyBorder="1" applyAlignment="1" applyProtection="1">
      <alignment horizontal="center" vertical="center"/>
      <protection locked="0"/>
    </xf>
    <xf numFmtId="3" fontId="20" fillId="0" borderId="36" xfId="31" applyNumberFormat="1" applyFont="1" applyBorder="1" applyAlignment="1" applyProtection="1">
      <alignment horizontal="right" vertical="center"/>
      <protection locked="0"/>
    </xf>
    <xf numFmtId="3" fontId="19" fillId="0" borderId="202" xfId="27" applyNumberFormat="1" applyFont="1" applyBorder="1" applyAlignment="1">
      <alignment horizontal="center" vertical="center"/>
    </xf>
    <xf numFmtId="3" fontId="17" fillId="0" borderId="82" xfId="27" applyNumberFormat="1" applyFont="1" applyBorder="1" applyAlignment="1">
      <alignment horizontal="center"/>
    </xf>
    <xf numFmtId="3" fontId="17" fillId="0" borderId="82" xfId="27" applyNumberFormat="1" applyFont="1" applyBorder="1" applyAlignment="1">
      <alignment horizontal="right"/>
    </xf>
    <xf numFmtId="3" fontId="17" fillId="0" borderId="194" xfId="27" applyNumberFormat="1" applyFont="1" applyBorder="1" applyAlignment="1">
      <alignment horizontal="right"/>
    </xf>
    <xf numFmtId="3" fontId="17" fillId="0" borderId="102" xfId="27" applyNumberFormat="1" applyFont="1" applyBorder="1" applyAlignment="1">
      <alignment horizontal="center"/>
    </xf>
    <xf numFmtId="3" fontId="20" fillId="0" borderId="102" xfId="0" applyNumberFormat="1" applyFont="1" applyBorder="1" applyAlignment="1">
      <alignment horizontal="right" wrapText="1"/>
    </xf>
    <xf numFmtId="3" fontId="42" fillId="0" borderId="102" xfId="0" applyNumberFormat="1" applyFont="1" applyBorder="1" applyAlignment="1">
      <alignment horizontal="right" wrapText="1"/>
    </xf>
    <xf numFmtId="3" fontId="20" fillId="0" borderId="114" xfId="0" applyNumberFormat="1" applyFont="1" applyBorder="1" applyAlignment="1">
      <alignment horizontal="right" wrapText="1"/>
    </xf>
    <xf numFmtId="0" fontId="17" fillId="0" borderId="0" xfId="0" applyFont="1" applyAlignment="1">
      <alignment horizontal="left" vertical="center"/>
    </xf>
    <xf numFmtId="0" fontId="12" fillId="0" borderId="11" xfId="0" applyFont="1" applyBorder="1" applyAlignment="1">
      <alignment vertical="center"/>
    </xf>
    <xf numFmtId="0" fontId="12" fillId="0" borderId="12" xfId="0" applyFont="1" applyBorder="1" applyAlignment="1">
      <alignment horizontal="center" vertical="top"/>
    </xf>
    <xf numFmtId="0" fontId="12" fillId="0" borderId="12" xfId="0" applyFont="1" applyBorder="1" applyAlignment="1">
      <alignment horizontal="center" vertical="center" wrapText="1"/>
    </xf>
    <xf numFmtId="3" fontId="12" fillId="0" borderId="233" xfId="0" applyNumberFormat="1" applyFont="1" applyBorder="1" applyAlignment="1">
      <alignment horizontal="center" vertical="center"/>
    </xf>
    <xf numFmtId="0" fontId="23" fillId="0" borderId="0" xfId="0" applyFont="1" applyAlignment="1">
      <alignment wrapText="1"/>
    </xf>
    <xf numFmtId="3" fontId="10" fillId="0" borderId="9" xfId="0" applyNumberFormat="1" applyFont="1" applyBorder="1" applyAlignment="1">
      <alignment vertical="top"/>
    </xf>
    <xf numFmtId="0" fontId="24" fillId="0" borderId="0" xfId="0" applyFont="1" applyAlignment="1">
      <alignment horizontal="right" wrapText="1"/>
    </xf>
    <xf numFmtId="0" fontId="24" fillId="0" borderId="0" xfId="0" applyFont="1" applyAlignment="1">
      <alignment wrapText="1"/>
    </xf>
    <xf numFmtId="0" fontId="10" fillId="0" borderId="0" xfId="0" applyFont="1" applyAlignment="1">
      <alignment vertical="top" shrinkToFit="1"/>
    </xf>
    <xf numFmtId="3" fontId="24" fillId="0" borderId="0" xfId="0" applyNumberFormat="1" applyFont="1" applyAlignment="1">
      <alignment vertical="top" shrinkToFit="1"/>
    </xf>
    <xf numFmtId="3" fontId="24" fillId="0" borderId="0" xfId="0" applyNumberFormat="1" applyFont="1" applyAlignment="1">
      <alignment vertical="top"/>
    </xf>
    <xf numFmtId="3" fontId="24" fillId="0" borderId="0" xfId="30" applyNumberFormat="1" applyFont="1" applyAlignment="1">
      <alignment wrapText="1"/>
    </xf>
    <xf numFmtId="3" fontId="24" fillId="0" borderId="0" xfId="30" applyNumberFormat="1" applyFont="1" applyAlignment="1">
      <alignment vertical="top" wrapText="1"/>
    </xf>
    <xf numFmtId="0" fontId="10" fillId="0" borderId="0" xfId="0" applyFont="1" applyAlignment="1">
      <alignment horizontal="left" wrapText="1" indent="2"/>
    </xf>
    <xf numFmtId="3" fontId="10" fillId="0" borderId="0" xfId="30" applyNumberFormat="1" applyFont="1" applyAlignment="1">
      <alignment vertical="top" wrapText="1"/>
    </xf>
    <xf numFmtId="3" fontId="10" fillId="0" borderId="9" xfId="30" applyNumberFormat="1" applyFont="1" applyBorder="1" applyAlignment="1">
      <alignment vertical="top" wrapText="1"/>
    </xf>
    <xf numFmtId="0" fontId="58" fillId="0" borderId="0" xfId="0" applyFont="1" applyAlignment="1">
      <alignment wrapText="1"/>
    </xf>
    <xf numFmtId="0" fontId="12" fillId="0" borderId="12" xfId="0" applyFont="1" applyBorder="1" applyAlignment="1">
      <alignment vertical="top"/>
    </xf>
    <xf numFmtId="0" fontId="12" fillId="0" borderId="12" xfId="0" applyFont="1" applyBorder="1" applyAlignment="1">
      <alignment vertical="center" wrapText="1"/>
    </xf>
    <xf numFmtId="3" fontId="12" fillId="0" borderId="211" xfId="0" applyNumberFormat="1" applyFont="1" applyBorder="1" applyAlignment="1">
      <alignment vertical="center"/>
    </xf>
    <xf numFmtId="0" fontId="29" fillId="0" borderId="0" xfId="0" applyFont="1" applyAlignment="1">
      <alignment wrapText="1"/>
    </xf>
    <xf numFmtId="0" fontId="57" fillId="0" borderId="0" xfId="0" applyFont="1" applyAlignment="1">
      <alignment shrinkToFit="1"/>
    </xf>
    <xf numFmtId="0" fontId="24" fillId="0" borderId="0" xfId="0" applyFont="1" applyAlignment="1">
      <alignment horizontal="right"/>
    </xf>
    <xf numFmtId="0" fontId="58" fillId="0" borderId="0" xfId="0" applyFont="1"/>
    <xf numFmtId="0" fontId="24" fillId="0" borderId="0" xfId="55" applyFont="1" applyAlignment="1">
      <alignment horizontal="right" shrinkToFit="1"/>
    </xf>
    <xf numFmtId="0" fontId="13" fillId="0" borderId="27" xfId="0" applyFont="1" applyBorder="1" applyAlignment="1">
      <alignment vertical="center"/>
    </xf>
    <xf numFmtId="0" fontId="24" fillId="0" borderId="27" xfId="0" applyFont="1" applyBorder="1" applyAlignment="1">
      <alignment horizontal="right" vertical="center"/>
    </xf>
    <xf numFmtId="3" fontId="24" fillId="0" borderId="27" xfId="0" applyNumberFormat="1" applyFont="1" applyBorder="1" applyAlignment="1">
      <alignment vertical="center"/>
    </xf>
    <xf numFmtId="0" fontId="61" fillId="0" borderId="0" xfId="0" applyFont="1"/>
    <xf numFmtId="3" fontId="10" fillId="0" borderId="0" xfId="55" applyNumberFormat="1" applyFont="1"/>
    <xf numFmtId="3" fontId="10" fillId="0" borderId="0" xfId="55" applyNumberFormat="1" applyFont="1" applyAlignment="1">
      <alignment vertical="top"/>
    </xf>
    <xf numFmtId="3" fontId="10" fillId="0" borderId="9" xfId="55" applyNumberFormat="1" applyFont="1" applyBorder="1" applyAlignment="1">
      <alignment vertical="top"/>
    </xf>
    <xf numFmtId="0" fontId="24" fillId="0" borderId="0" xfId="0" applyFont="1" applyAlignment="1">
      <alignment horizontal="right" shrinkToFit="1"/>
    </xf>
    <xf numFmtId="3" fontId="24" fillId="0" borderId="0" xfId="55" applyNumberFormat="1" applyFont="1"/>
    <xf numFmtId="0" fontId="24" fillId="0" borderId="0" xfId="0" applyFont="1" applyAlignment="1">
      <alignment vertical="top"/>
    </xf>
    <xf numFmtId="3" fontId="24" fillId="0" borderId="8" xfId="28" applyNumberFormat="1" applyFont="1" applyBorder="1" applyAlignment="1">
      <alignment wrapText="1"/>
    </xf>
    <xf numFmtId="0" fontId="13" fillId="0" borderId="95" xfId="0" applyFont="1" applyBorder="1" applyAlignment="1">
      <alignment vertical="center"/>
    </xf>
    <xf numFmtId="0" fontId="24" fillId="0" borderId="95" xfId="55" applyFont="1" applyBorder="1" applyAlignment="1">
      <alignment horizontal="right" vertical="center" wrapText="1"/>
    </xf>
    <xf numFmtId="3" fontId="24" fillId="0" borderId="95" xfId="55" applyNumberFormat="1" applyFont="1" applyBorder="1" applyAlignment="1">
      <alignment vertical="center"/>
    </xf>
    <xf numFmtId="3" fontId="24" fillId="0" borderId="0" xfId="55" applyNumberFormat="1" applyFont="1" applyAlignment="1">
      <alignment vertical="center"/>
    </xf>
    <xf numFmtId="3" fontId="10" fillId="0" borderId="0" xfId="55" applyNumberFormat="1" applyFont="1" applyAlignment="1">
      <alignment vertical="center"/>
    </xf>
    <xf numFmtId="0" fontId="10" fillId="0" borderId="95" xfId="0" applyFont="1" applyBorder="1" applyAlignment="1">
      <alignment vertical="center"/>
    </xf>
    <xf numFmtId="0" fontId="24" fillId="0" borderId="95" xfId="0" applyFont="1" applyBorder="1" applyAlignment="1">
      <alignment horizontal="right" vertical="center" wrapText="1"/>
    </xf>
    <xf numFmtId="3" fontId="24" fillId="0" borderId="95" xfId="0" applyNumberFormat="1" applyFont="1" applyBorder="1" applyAlignment="1">
      <alignment vertical="center"/>
    </xf>
    <xf numFmtId="3" fontId="10" fillId="0" borderId="0" xfId="0" applyNumberFormat="1" applyFont="1" applyAlignment="1">
      <alignment wrapText="1"/>
    </xf>
    <xf numFmtId="3" fontId="10" fillId="0" borderId="0" xfId="0" applyNumberFormat="1" applyFont="1" applyAlignment="1">
      <alignment vertical="top" wrapText="1"/>
    </xf>
    <xf numFmtId="0" fontId="29" fillId="0" borderId="0" xfId="0" applyFont="1"/>
    <xf numFmtId="3" fontId="10" fillId="0" borderId="9" xfId="0" applyNumberFormat="1" applyFont="1" applyBorder="1" applyAlignment="1">
      <alignment vertical="top" wrapText="1"/>
    </xf>
    <xf numFmtId="0" fontId="24" fillId="0" borderId="0" xfId="0" applyFont="1" applyAlignment="1">
      <alignment horizontal="left" wrapText="1" indent="2"/>
    </xf>
    <xf numFmtId="3" fontId="13" fillId="0" borderId="0" xfId="0" applyNumberFormat="1" applyFont="1" applyAlignment="1">
      <alignment vertical="top"/>
    </xf>
    <xf numFmtId="0" fontId="24" fillId="0" borderId="27" xfId="0" applyFont="1" applyBorder="1" applyAlignment="1">
      <alignment vertical="center"/>
    </xf>
    <xf numFmtId="0" fontId="24" fillId="0" borderId="27" xfId="0" applyFont="1" applyBorder="1" applyAlignment="1">
      <alignment horizontal="right" vertical="center" wrapText="1"/>
    </xf>
    <xf numFmtId="0" fontId="57" fillId="0" borderId="0" xfId="0" applyFont="1"/>
    <xf numFmtId="0" fontId="24" fillId="0" borderId="0" xfId="0" applyFont="1" applyAlignment="1">
      <alignment horizontal="right" vertical="top"/>
    </xf>
    <xf numFmtId="0" fontId="24" fillId="0" borderId="0" xfId="0" applyFont="1" applyAlignment="1">
      <alignment vertical="center"/>
    </xf>
    <xf numFmtId="0" fontId="24" fillId="0" borderId="0" xfId="0" applyFont="1" applyAlignment="1">
      <alignment horizontal="right" vertical="center" wrapText="1"/>
    </xf>
    <xf numFmtId="3" fontId="10" fillId="0" borderId="0" xfId="15" applyNumberFormat="1" applyFont="1" applyAlignment="1">
      <alignment horizontal="right" vertical="center"/>
    </xf>
    <xf numFmtId="3" fontId="19" fillId="0" borderId="0" xfId="31" applyNumberFormat="1" applyFont="1" applyAlignment="1">
      <alignment horizontal="right" vertical="center"/>
    </xf>
    <xf numFmtId="0" fontId="10" fillId="0" borderId="20" xfId="28" applyFont="1" applyBorder="1" applyAlignment="1">
      <alignment vertical="center" wrapText="1"/>
    </xf>
    <xf numFmtId="3" fontId="17" fillId="0" borderId="20" xfId="31" applyNumberFormat="1" applyFont="1" applyBorder="1" applyAlignment="1">
      <alignment horizontal="right" vertical="center"/>
    </xf>
    <xf numFmtId="0" fontId="17" fillId="0" borderId="37" xfId="31" applyFont="1" applyBorder="1" applyAlignment="1">
      <alignment horizontal="center" vertical="center" wrapText="1"/>
    </xf>
    <xf numFmtId="3" fontId="20" fillId="0" borderId="22" xfId="27" applyNumberFormat="1" applyFont="1" applyBorder="1" applyAlignment="1">
      <alignment wrapText="1"/>
    </xf>
    <xf numFmtId="0" fontId="10" fillId="0" borderId="20" xfId="28" applyFont="1" applyBorder="1" applyAlignment="1">
      <alignment wrapText="1"/>
    </xf>
    <xf numFmtId="0" fontId="10" fillId="0" borderId="20" xfId="31" applyFont="1" applyBorder="1" applyAlignment="1">
      <alignment wrapText="1"/>
    </xf>
    <xf numFmtId="3" fontId="17" fillId="0" borderId="86" xfId="31" applyNumberFormat="1" applyFont="1" applyBorder="1" applyAlignment="1">
      <alignment horizontal="right" vertical="center"/>
    </xf>
    <xf numFmtId="0" fontId="17" fillId="0" borderId="0" xfId="31" applyFont="1" applyAlignment="1">
      <alignment vertical="center"/>
    </xf>
    <xf numFmtId="0" fontId="29" fillId="0" borderId="20" xfId="28" applyFont="1" applyBorder="1" applyAlignment="1">
      <alignment wrapText="1"/>
    </xf>
    <xf numFmtId="3" fontId="33" fillId="0" borderId="183" xfId="27" applyNumberFormat="1" applyFont="1" applyBorder="1" applyAlignment="1">
      <alignment wrapText="1"/>
    </xf>
    <xf numFmtId="3" fontId="20" fillId="0" borderId="16" xfId="31" applyNumberFormat="1" applyFont="1" applyBorder="1" applyAlignment="1">
      <alignment horizontal="right" vertical="center"/>
    </xf>
    <xf numFmtId="3" fontId="19" fillId="0" borderId="16" xfId="31" applyNumberFormat="1" applyFont="1" applyBorder="1" applyAlignment="1">
      <alignment horizontal="right" vertical="center"/>
    </xf>
    <xf numFmtId="3" fontId="19" fillId="0" borderId="20" xfId="27" applyNumberFormat="1" applyFont="1" applyBorder="1" applyAlignment="1">
      <alignment wrapText="1"/>
    </xf>
    <xf numFmtId="3" fontId="47" fillId="0" borderId="16" xfId="31" applyNumberFormat="1" applyFont="1" applyBorder="1" applyAlignment="1">
      <alignment horizontal="right" vertical="center"/>
    </xf>
    <xf numFmtId="3" fontId="47" fillId="0" borderId="130" xfId="28" applyNumberFormat="1" applyFont="1" applyBorder="1" applyAlignment="1">
      <alignment horizontal="right" vertical="center" wrapText="1"/>
    </xf>
    <xf numFmtId="3" fontId="42" fillId="0" borderId="22" xfId="27" applyNumberFormat="1" applyFont="1" applyBorder="1" applyAlignment="1">
      <alignment horizontal="left" vertical="top" wrapText="1" indent="4"/>
    </xf>
    <xf numFmtId="3" fontId="19" fillId="0" borderId="22" xfId="27" applyNumberFormat="1" applyFont="1" applyBorder="1" applyAlignment="1">
      <alignment horizontal="left" vertical="top" wrapText="1" indent="4"/>
    </xf>
    <xf numFmtId="3" fontId="19" fillId="0" borderId="22" xfId="27" applyNumberFormat="1" applyFont="1" applyBorder="1" applyAlignment="1">
      <alignment horizontal="left" wrapText="1" indent="4"/>
    </xf>
    <xf numFmtId="3" fontId="19" fillId="0" borderId="111" xfId="27" applyNumberFormat="1" applyFont="1" applyBorder="1" applyAlignment="1">
      <alignment horizontal="left" vertical="top" wrapText="1" indent="4"/>
    </xf>
    <xf numFmtId="3" fontId="19" fillId="0" borderId="54" xfId="27" applyNumberFormat="1" applyFont="1" applyBorder="1" applyAlignment="1">
      <alignment horizontal="left" vertical="top" wrapText="1" indent="4"/>
    </xf>
    <xf numFmtId="3" fontId="19" fillId="0" borderId="21" xfId="27" applyNumberFormat="1" applyFont="1" applyBorder="1" applyAlignment="1">
      <alignment vertical="center" wrapText="1"/>
    </xf>
    <xf numFmtId="3" fontId="46" fillId="0" borderId="20" xfId="27" applyNumberFormat="1" applyFont="1" applyBorder="1" applyAlignment="1">
      <alignment wrapText="1"/>
    </xf>
    <xf numFmtId="3" fontId="46" fillId="0" borderId="183" xfId="27" applyNumberFormat="1" applyFont="1" applyBorder="1" applyAlignment="1">
      <alignment wrapText="1"/>
    </xf>
    <xf numFmtId="0" fontId="17" fillId="0" borderId="93" xfId="31" applyFont="1" applyBorder="1" applyAlignment="1">
      <alignment horizontal="center" vertical="center"/>
    </xf>
    <xf numFmtId="0" fontId="10" fillId="0" borderId="20" xfId="28" applyFont="1" applyBorder="1" applyAlignment="1">
      <alignment wrapText="1" shrinkToFit="1"/>
    </xf>
    <xf numFmtId="3" fontId="17" fillId="0" borderId="94" xfId="31" applyNumberFormat="1" applyFont="1" applyBorder="1" applyAlignment="1">
      <alignment horizontal="right" vertical="center"/>
    </xf>
    <xf numFmtId="0" fontId="10" fillId="0" borderId="20" xfId="0" applyFont="1" applyBorder="1" applyAlignment="1">
      <alignment wrapText="1" shrinkToFit="1"/>
    </xf>
    <xf numFmtId="0" fontId="10" fillId="0" borderId="20" xfId="28" applyFont="1" applyBorder="1" applyAlignment="1">
      <alignment shrinkToFit="1"/>
    </xf>
    <xf numFmtId="3" fontId="17" fillId="0" borderId="104" xfId="31" applyNumberFormat="1" applyFont="1" applyBorder="1" applyAlignment="1">
      <alignment horizontal="right" vertical="center"/>
    </xf>
    <xf numFmtId="3" fontId="17" fillId="0" borderId="133" xfId="31" applyNumberFormat="1" applyFont="1" applyBorder="1" applyAlignment="1">
      <alignment horizontal="right" vertical="center"/>
    </xf>
    <xf numFmtId="3" fontId="19" fillId="0" borderId="21" xfId="31" applyNumberFormat="1" applyFont="1" applyBorder="1" applyAlignment="1">
      <alignment horizontal="right" vertical="center"/>
    </xf>
    <xf numFmtId="0" fontId="49" fillId="0" borderId="20" xfId="28" applyFont="1" applyBorder="1" applyAlignment="1">
      <alignment horizontal="left" wrapText="1"/>
    </xf>
    <xf numFmtId="0" fontId="10" fillId="0" borderId="20" xfId="28" applyFont="1" applyBorder="1" applyAlignment="1">
      <alignment horizontal="left" wrapText="1"/>
    </xf>
    <xf numFmtId="0" fontId="10" fillId="0" borderId="22" xfId="28" applyFont="1" applyBorder="1" applyAlignment="1">
      <alignment horizontal="left" wrapText="1"/>
    </xf>
    <xf numFmtId="3" fontId="29" fillId="0" borderId="20" xfId="30" applyNumberFormat="1" applyFont="1" applyBorder="1"/>
    <xf numFmtId="3" fontId="29" fillId="0" borderId="21" xfId="30" applyNumberFormat="1" applyFont="1" applyBorder="1" applyAlignment="1" applyProtection="1">
      <alignment horizontal="left"/>
      <protection locked="0"/>
    </xf>
    <xf numFmtId="3" fontId="17" fillId="0" borderId="14" xfId="31" applyNumberFormat="1" applyFont="1" applyBorder="1" applyAlignment="1">
      <alignment horizontal="right" vertical="center"/>
    </xf>
    <xf numFmtId="3" fontId="17" fillId="0" borderId="185" xfId="31" applyNumberFormat="1" applyFont="1" applyBorder="1" applyAlignment="1">
      <alignment horizontal="right" vertical="center"/>
    </xf>
    <xf numFmtId="3" fontId="20" fillId="0" borderId="4" xfId="28" applyNumberFormat="1" applyFont="1" applyBorder="1" applyAlignment="1">
      <alignment vertical="center" wrapText="1"/>
    </xf>
    <xf numFmtId="3" fontId="20" fillId="0" borderId="52" xfId="28" applyNumberFormat="1" applyFont="1" applyBorder="1" applyAlignment="1">
      <alignment vertical="center" wrapText="1"/>
    </xf>
    <xf numFmtId="3" fontId="46" fillId="0" borderId="35" xfId="27" applyNumberFormat="1" applyFont="1" applyBorder="1" applyAlignment="1">
      <alignment vertical="center" wrapText="1"/>
    </xf>
    <xf numFmtId="3" fontId="46" fillId="0" borderId="220" xfId="27" applyNumberFormat="1" applyFont="1" applyBorder="1" applyAlignment="1">
      <alignment vertical="center" wrapText="1"/>
    </xf>
    <xf numFmtId="3" fontId="20" fillId="0" borderId="52" xfId="28" applyNumberFormat="1" applyFont="1" applyBorder="1" applyAlignment="1">
      <alignment horizontal="right" vertical="center" wrapText="1"/>
    </xf>
    <xf numFmtId="3" fontId="20" fillId="0" borderId="93" xfId="28" applyNumberFormat="1" applyFont="1" applyBorder="1" applyAlignment="1">
      <alignment vertical="center" wrapText="1"/>
    </xf>
    <xf numFmtId="3" fontId="46" fillId="0" borderId="16" xfId="27" applyNumberFormat="1" applyFont="1" applyBorder="1" applyAlignment="1">
      <alignment vertical="center" wrapText="1"/>
    </xf>
    <xf numFmtId="3" fontId="46" fillId="0" borderId="160" xfId="27" applyNumberFormat="1" applyFont="1" applyBorder="1" applyAlignment="1">
      <alignment vertical="center" wrapText="1"/>
    </xf>
    <xf numFmtId="3" fontId="23" fillId="0" borderId="16" xfId="28" applyNumberFormat="1" applyFont="1" applyBorder="1" applyAlignment="1">
      <alignment horizontal="right" vertical="center" wrapText="1"/>
    </xf>
    <xf numFmtId="3" fontId="23" fillId="0" borderId="111" xfId="28" applyNumberFormat="1" applyFont="1" applyBorder="1" applyAlignment="1">
      <alignment horizontal="right" vertical="center" wrapText="1"/>
    </xf>
    <xf numFmtId="3" fontId="20" fillId="0" borderId="22" xfId="30" applyNumberFormat="1" applyFont="1" applyBorder="1"/>
    <xf numFmtId="3" fontId="46" fillId="0" borderId="191" xfId="27" applyNumberFormat="1" applyFont="1" applyBorder="1" applyAlignment="1">
      <alignment vertical="center" wrapText="1"/>
    </xf>
    <xf numFmtId="3" fontId="46" fillId="0" borderId="193" xfId="27" applyNumberFormat="1" applyFont="1" applyBorder="1" applyAlignment="1">
      <alignment vertical="center" wrapText="1"/>
    </xf>
    <xf numFmtId="3" fontId="20" fillId="0" borderId="187" xfId="28" applyNumberFormat="1" applyFont="1" applyBorder="1" applyAlignment="1">
      <alignment horizontal="right" vertical="center" wrapText="1"/>
    </xf>
    <xf numFmtId="3" fontId="20" fillId="0" borderId="18" xfId="28" applyNumberFormat="1" applyFont="1" applyBorder="1" applyAlignment="1">
      <alignment horizontal="right" vertical="center" wrapText="1"/>
    </xf>
    <xf numFmtId="3" fontId="20" fillId="0" borderId="13" xfId="28" applyNumberFormat="1" applyFont="1" applyBorder="1" applyAlignment="1">
      <alignment vertical="center" wrapText="1"/>
    </xf>
    <xf numFmtId="3" fontId="20" fillId="0" borderId="90" xfId="28" applyNumberFormat="1" applyFont="1" applyBorder="1" applyAlignment="1">
      <alignment horizontal="right" vertical="center" wrapText="1"/>
    </xf>
    <xf numFmtId="3" fontId="20" fillId="0" borderId="14" xfId="28" applyNumberFormat="1" applyFont="1" applyBorder="1" applyAlignment="1">
      <alignment horizontal="right" vertical="center" wrapText="1"/>
    </xf>
    <xf numFmtId="3" fontId="20" fillId="0" borderId="122" xfId="28" applyNumberFormat="1" applyFont="1" applyBorder="1" applyAlignment="1">
      <alignment horizontal="right" vertical="center" wrapText="1"/>
    </xf>
    <xf numFmtId="3" fontId="20" fillId="0" borderId="185" xfId="28" applyNumberFormat="1" applyFont="1" applyBorder="1" applyAlignment="1">
      <alignment horizontal="right" vertical="center" wrapText="1"/>
    </xf>
    <xf numFmtId="0" fontId="0" fillId="0" borderId="111" xfId="0" applyBorder="1" applyAlignment="1">
      <alignment wrapText="1"/>
    </xf>
    <xf numFmtId="3" fontId="17" fillId="0" borderId="0" xfId="32" applyNumberFormat="1" applyFont="1" applyAlignment="1">
      <alignment horizontal="right" vertical="center"/>
    </xf>
    <xf numFmtId="3" fontId="17" fillId="0" borderId="0" xfId="32" applyNumberFormat="1" applyFont="1" applyAlignment="1">
      <alignment horizontal="right" vertical="center" wrapText="1"/>
    </xf>
    <xf numFmtId="3" fontId="17" fillId="0" borderId="0" xfId="15" applyNumberFormat="1" applyFont="1" applyAlignment="1">
      <alignment horizontal="right" vertical="center"/>
    </xf>
    <xf numFmtId="4" fontId="13" fillId="0" borderId="2" xfId="0" applyNumberFormat="1" applyFont="1" applyBorder="1" applyAlignment="1">
      <alignment horizontal="center" vertical="center" wrapText="1"/>
    </xf>
    <xf numFmtId="165" fontId="12" fillId="0" borderId="0" xfId="0" applyNumberFormat="1" applyFont="1" applyAlignment="1">
      <alignment horizontal="left" vertical="top" wrapText="1"/>
    </xf>
    <xf numFmtId="4" fontId="12" fillId="0" borderId="0" xfId="0" applyNumberFormat="1" applyFont="1"/>
    <xf numFmtId="165" fontId="13" fillId="0" borderId="0" xfId="0" applyNumberFormat="1" applyFont="1" applyAlignment="1">
      <alignment horizontal="left" vertical="top" wrapText="1"/>
    </xf>
    <xf numFmtId="4" fontId="10" fillId="0" borderId="0" xfId="0" applyNumberFormat="1" applyFont="1"/>
    <xf numFmtId="4" fontId="13" fillId="0" borderId="0" xfId="0" applyNumberFormat="1" applyFont="1"/>
    <xf numFmtId="4" fontId="12" fillId="0" borderId="0" xfId="0" applyNumberFormat="1" applyFont="1" applyAlignment="1">
      <alignment vertical="top"/>
    </xf>
    <xf numFmtId="4" fontId="13" fillId="0" borderId="0" xfId="0" applyNumberFormat="1" applyFont="1" applyAlignment="1">
      <alignment vertical="top"/>
    </xf>
    <xf numFmtId="165" fontId="12" fillId="0" borderId="0" xfId="30" applyNumberFormat="1" applyFont="1" applyAlignment="1">
      <alignment vertical="top" wrapText="1"/>
    </xf>
    <xf numFmtId="165" fontId="12" fillId="0" borderId="0" xfId="30" applyNumberFormat="1" applyFont="1" applyAlignment="1">
      <alignment wrapText="1"/>
    </xf>
    <xf numFmtId="4" fontId="13" fillId="0" borderId="0" xfId="0" applyNumberFormat="1" applyFont="1" applyAlignment="1">
      <alignment vertical="center"/>
    </xf>
    <xf numFmtId="165" fontId="12" fillId="0" borderId="0" xfId="0" applyNumberFormat="1" applyFont="1" applyAlignment="1">
      <alignment horizontal="left" wrapText="1"/>
    </xf>
    <xf numFmtId="165" fontId="10" fillId="0" borderId="0" xfId="30" applyNumberFormat="1" applyFont="1" applyAlignment="1">
      <alignment wrapText="1"/>
    </xf>
    <xf numFmtId="165" fontId="24" fillId="0" borderId="0" xfId="0" applyNumberFormat="1" applyFont="1" applyAlignment="1">
      <alignment vertical="center" wrapText="1"/>
    </xf>
    <xf numFmtId="165" fontId="13" fillId="0" borderId="0" xfId="0" applyNumberFormat="1" applyFont="1" applyAlignment="1">
      <alignment vertical="center" wrapText="1"/>
    </xf>
    <xf numFmtId="165" fontId="24" fillId="0" borderId="0" xfId="0" applyNumberFormat="1" applyFont="1" applyAlignment="1">
      <alignment vertical="top" wrapText="1"/>
    </xf>
    <xf numFmtId="165" fontId="13" fillId="0" borderId="0" xfId="0" applyNumberFormat="1" applyFont="1" applyAlignment="1">
      <alignment horizontal="left" vertical="center" wrapText="1" indent="3"/>
    </xf>
    <xf numFmtId="4" fontId="13" fillId="0" borderId="0" xfId="0" applyNumberFormat="1" applyFont="1" applyAlignment="1">
      <alignment horizontal="right" vertical="center"/>
    </xf>
    <xf numFmtId="0" fontId="10" fillId="0" borderId="0" xfId="0" applyFont="1" applyAlignment="1">
      <alignment horizontal="center" vertical="center" wrapText="1"/>
    </xf>
    <xf numFmtId="3" fontId="60" fillId="0" borderId="20" xfId="30" applyNumberFormat="1" applyFont="1" applyBorder="1" applyAlignment="1">
      <alignment horizontal="left" wrapText="1"/>
    </xf>
    <xf numFmtId="3" fontId="20" fillId="0" borderId="20" xfId="30" applyNumberFormat="1" applyFont="1" applyBorder="1" applyAlignment="1">
      <alignment horizontal="left" wrapText="1"/>
    </xf>
    <xf numFmtId="0" fontId="10" fillId="0" borderId="0" xfId="0" applyFont="1" applyAlignment="1">
      <alignment wrapText="1" shrinkToFit="1"/>
    </xf>
    <xf numFmtId="0" fontId="12" fillId="0" borderId="0" xfId="0" applyFont="1" applyAlignment="1">
      <alignment horizontal="center" vertical="center"/>
    </xf>
    <xf numFmtId="3" fontId="12" fillId="0" borderId="0" xfId="0" applyNumberFormat="1" applyFont="1" applyAlignment="1">
      <alignment horizontal="center" vertical="center"/>
    </xf>
    <xf numFmtId="3" fontId="17" fillId="0" borderId="0" xfId="0" applyNumberFormat="1" applyFont="1" applyAlignment="1">
      <alignment horizontal="left" vertical="center"/>
    </xf>
    <xf numFmtId="3" fontId="13" fillId="0" borderId="0" xfId="0" applyNumberFormat="1" applyFont="1" applyAlignment="1">
      <alignment horizontal="left" vertical="center"/>
    </xf>
    <xf numFmtId="3" fontId="24" fillId="0" borderId="0" xfId="0" applyNumberFormat="1" applyFont="1" applyAlignment="1">
      <alignment horizontal="center" vertical="center"/>
    </xf>
    <xf numFmtId="0" fontId="17" fillId="0" borderId="137" xfId="0" applyFont="1" applyBorder="1" applyAlignment="1">
      <alignment horizontal="center" vertical="center" textRotation="90"/>
    </xf>
    <xf numFmtId="0" fontId="17" fillId="0" borderId="144" xfId="0" applyFont="1" applyBorder="1" applyAlignment="1">
      <alignment horizontal="center" vertical="center" textRotation="90"/>
    </xf>
    <xf numFmtId="3" fontId="17" fillId="0" borderId="139" xfId="26" applyNumberFormat="1" applyFont="1" applyBorder="1" applyAlignment="1">
      <alignment horizontal="center" vertical="center" wrapText="1"/>
    </xf>
    <xf numFmtId="0" fontId="10" fillId="0" borderId="139" xfId="0" applyFont="1" applyBorder="1" applyAlignment="1">
      <alignment horizontal="center" vertical="center" wrapText="1"/>
    </xf>
    <xf numFmtId="3" fontId="12" fillId="0" borderId="139" xfId="0" applyNumberFormat="1" applyFont="1" applyBorder="1" applyAlignment="1">
      <alignment horizontal="center" vertical="center" wrapText="1"/>
    </xf>
    <xf numFmtId="3" fontId="24" fillId="0" borderId="139" xfId="0" applyNumberFormat="1" applyFont="1" applyBorder="1" applyAlignment="1">
      <alignment horizontal="center" vertical="center" wrapText="1"/>
    </xf>
    <xf numFmtId="3" fontId="12" fillId="0" borderId="25" xfId="0" applyNumberFormat="1" applyFont="1" applyBorder="1" applyAlignment="1">
      <alignment horizontal="center" vertical="center" wrapText="1"/>
    </xf>
    <xf numFmtId="0" fontId="10" fillId="0" borderId="15" xfId="0" applyFont="1" applyBorder="1" applyAlignment="1">
      <alignment horizontal="center" vertical="top"/>
    </xf>
    <xf numFmtId="0" fontId="10" fillId="0" borderId="16" xfId="0" applyFont="1" applyBorder="1" applyAlignment="1">
      <alignment horizontal="center" vertical="top"/>
    </xf>
    <xf numFmtId="0" fontId="10" fillId="0" borderId="16" xfId="0" applyFont="1" applyBorder="1" applyAlignment="1">
      <alignment horizontal="center"/>
    </xf>
    <xf numFmtId="3" fontId="12" fillId="0" borderId="16" xfId="26" applyNumberFormat="1" applyFont="1" applyBorder="1"/>
    <xf numFmtId="3" fontId="10" fillId="0" borderId="16" xfId="0" applyNumberFormat="1" applyFont="1" applyBorder="1"/>
    <xf numFmtId="3" fontId="13" fillId="0" borderId="16" xfId="0" applyNumberFormat="1" applyFont="1" applyBorder="1"/>
    <xf numFmtId="3" fontId="10" fillId="0" borderId="17" xfId="0" applyNumberFormat="1" applyFont="1" applyBorder="1"/>
    <xf numFmtId="165" fontId="10" fillId="0" borderId="16" xfId="0" applyNumberFormat="1" applyFont="1" applyBorder="1" applyAlignment="1">
      <alignment horizontal="left" vertical="top" wrapText="1" indent="2"/>
    </xf>
    <xf numFmtId="0" fontId="10" fillId="0" borderId="51" xfId="0" applyFont="1" applyBorder="1" applyAlignment="1">
      <alignment horizontal="center" vertical="top"/>
    </xf>
    <xf numFmtId="0" fontId="10" fillId="0" borderId="35" xfId="0" applyFont="1" applyBorder="1" applyAlignment="1">
      <alignment horizontal="center" vertical="top"/>
    </xf>
    <xf numFmtId="0" fontId="10" fillId="0" borderId="35" xfId="0" applyFont="1" applyBorder="1" applyAlignment="1">
      <alignment horizontal="center"/>
    </xf>
    <xf numFmtId="165" fontId="12" fillId="0" borderId="35" xfId="0" applyNumberFormat="1" applyFont="1" applyBorder="1" applyAlignment="1">
      <alignment horizontal="left" wrapText="1"/>
    </xf>
    <xf numFmtId="3" fontId="10" fillId="0" borderId="35" xfId="0" applyNumberFormat="1" applyFont="1" applyBorder="1"/>
    <xf numFmtId="3" fontId="13" fillId="0" borderId="35" xfId="0" applyNumberFormat="1" applyFont="1" applyBorder="1"/>
    <xf numFmtId="3" fontId="10" fillId="0" borderId="36" xfId="0" applyNumberFormat="1" applyFont="1" applyBorder="1"/>
    <xf numFmtId="165" fontId="10" fillId="0" borderId="35" xfId="0" applyNumberFormat="1" applyFont="1" applyBorder="1" applyAlignment="1">
      <alignment horizontal="left" vertical="top" wrapText="1" indent="2"/>
    </xf>
    <xf numFmtId="0" fontId="12" fillId="0" borderId="239" xfId="0" applyFont="1" applyBorder="1" applyAlignment="1">
      <alignment horizontal="center" vertical="center"/>
    </xf>
    <xf numFmtId="0" fontId="12" fillId="0" borderId="106" xfId="0" applyFont="1" applyBorder="1" applyAlignment="1">
      <alignment horizontal="center" vertical="center"/>
    </xf>
    <xf numFmtId="165" fontId="12" fillId="0" borderId="106" xfId="0" applyNumberFormat="1" applyFont="1" applyBorder="1" applyAlignment="1">
      <alignment horizontal="left" vertical="center" wrapText="1"/>
    </xf>
    <xf numFmtId="3" fontId="12" fillId="0" borderId="106" xfId="0" applyNumberFormat="1" applyFont="1" applyBorder="1" applyAlignment="1">
      <alignment vertical="center"/>
    </xf>
    <xf numFmtId="3" fontId="24" fillId="0" borderId="106" xfId="0" applyNumberFormat="1" applyFont="1" applyBorder="1" applyAlignment="1">
      <alignment vertical="center"/>
    </xf>
    <xf numFmtId="3" fontId="12" fillId="0" borderId="240" xfId="0" applyNumberFormat="1" applyFont="1" applyBorder="1" applyAlignment="1">
      <alignment vertical="center"/>
    </xf>
    <xf numFmtId="165" fontId="10" fillId="0" borderId="35" xfId="0" applyNumberFormat="1" applyFont="1" applyBorder="1" applyAlignment="1">
      <alignment horizontal="left" vertical="top" wrapText="1"/>
    </xf>
    <xf numFmtId="0" fontId="10" fillId="0" borderId="0" xfId="0" applyFont="1" applyAlignment="1">
      <alignment vertical="center" wrapText="1" shrinkToFit="1"/>
    </xf>
    <xf numFmtId="0" fontId="10" fillId="0" borderId="0" xfId="28" applyFont="1" applyAlignment="1">
      <alignment wrapText="1"/>
    </xf>
    <xf numFmtId="0" fontId="10" fillId="0" borderId="0" xfId="0" applyFont="1" applyAlignment="1">
      <alignment horizontal="left" vertical="center" wrapText="1" indent="2"/>
    </xf>
    <xf numFmtId="3" fontId="10" fillId="0" borderId="0" xfId="29" applyNumberFormat="1" applyFont="1" applyAlignment="1">
      <alignment horizontal="center" vertical="center"/>
    </xf>
    <xf numFmtId="3" fontId="10" fillId="0" borderId="0" xfId="29" applyNumberFormat="1" applyFont="1"/>
    <xf numFmtId="3" fontId="17" fillId="0" borderId="0" xfId="29" applyNumberFormat="1" applyFont="1" applyAlignment="1">
      <alignment horizontal="center"/>
    </xf>
    <xf numFmtId="3" fontId="17" fillId="0" borderId="0" xfId="29" applyNumberFormat="1" applyFont="1" applyAlignment="1">
      <alignment horizontal="left" wrapText="1"/>
    </xf>
    <xf numFmtId="14" fontId="17" fillId="0" borderId="0" xfId="29" applyNumberFormat="1" applyFont="1" applyAlignment="1">
      <alignment horizontal="center"/>
    </xf>
    <xf numFmtId="3" fontId="17" fillId="0" borderId="0" xfId="29" applyNumberFormat="1" applyFont="1"/>
    <xf numFmtId="3" fontId="17" fillId="0" borderId="0" xfId="29" applyNumberFormat="1" applyFont="1" applyAlignment="1">
      <alignment horizontal="center" wrapText="1"/>
    </xf>
    <xf numFmtId="3" fontId="17" fillId="0" borderId="18" xfId="29" applyNumberFormat="1" applyFont="1" applyBorder="1" applyAlignment="1">
      <alignment horizontal="center" vertical="center" wrapText="1"/>
    </xf>
    <xf numFmtId="3" fontId="10" fillId="0" borderId="242" xfId="29" applyNumberFormat="1" applyFont="1" applyBorder="1" applyAlignment="1">
      <alignment horizontal="center" vertical="center" wrapText="1"/>
    </xf>
    <xf numFmtId="3" fontId="10" fillId="0" borderId="0" xfId="29" applyNumberFormat="1" applyFont="1" applyAlignment="1">
      <alignment horizontal="center" vertical="center" wrapText="1"/>
    </xf>
    <xf numFmtId="3" fontId="10" fillId="0" borderId="244" xfId="29" applyNumberFormat="1" applyFont="1" applyBorder="1" applyAlignment="1">
      <alignment horizontal="center" vertical="center" wrapText="1"/>
    </xf>
    <xf numFmtId="0" fontId="10" fillId="0" borderId="234" xfId="29" applyFont="1" applyBorder="1" applyAlignment="1">
      <alignment horizontal="center" vertical="center" wrapText="1"/>
    </xf>
    <xf numFmtId="0" fontId="10" fillId="0" borderId="162" xfId="29" applyFont="1" applyBorder="1" applyAlignment="1">
      <alignment horizontal="center" vertical="center" wrapText="1"/>
    </xf>
    <xf numFmtId="3" fontId="10" fillId="0" borderId="78" xfId="29" applyNumberFormat="1" applyFont="1" applyBorder="1" applyAlignment="1">
      <alignment horizontal="center" vertical="center" wrapText="1"/>
    </xf>
    <xf numFmtId="3" fontId="10" fillId="0" borderId="132" xfId="29" applyNumberFormat="1" applyFont="1" applyBorder="1" applyAlignment="1">
      <alignment horizontal="center" vertical="center" wrapText="1"/>
    </xf>
    <xf numFmtId="3" fontId="17" fillId="0" borderId="0" xfId="29" applyNumberFormat="1" applyFont="1" applyAlignment="1">
      <alignment horizontal="center" vertical="center" wrapText="1"/>
    </xf>
    <xf numFmtId="3" fontId="10" fillId="0" borderId="4" xfId="29" applyNumberFormat="1" applyFont="1" applyBorder="1" applyAlignment="1">
      <alignment horizontal="center" wrapText="1"/>
    </xf>
    <xf numFmtId="3" fontId="29" fillId="0" borderId="53" xfId="29" applyNumberFormat="1" applyFont="1" applyBorder="1" applyAlignment="1">
      <alignment horizontal="left"/>
    </xf>
    <xf numFmtId="3" fontId="10" fillId="0" borderId="52" xfId="29" applyNumberFormat="1" applyFont="1" applyBorder="1" applyAlignment="1">
      <alignment horizontal="center" wrapText="1"/>
    </xf>
    <xf numFmtId="14" fontId="10" fillId="0" borderId="112" xfId="29" applyNumberFormat="1" applyFont="1" applyBorder="1" applyAlignment="1">
      <alignment horizontal="center" vertical="center" wrapText="1"/>
    </xf>
    <xf numFmtId="3" fontId="10" fillId="0" borderId="249" xfId="29" applyNumberFormat="1" applyFont="1" applyBorder="1" applyAlignment="1">
      <alignment horizontal="center" vertical="center" wrapText="1"/>
    </xf>
    <xf numFmtId="3" fontId="10" fillId="0" borderId="99" xfId="29" applyNumberFormat="1" applyFont="1" applyBorder="1" applyAlignment="1">
      <alignment horizontal="center" vertical="center" wrapText="1"/>
    </xf>
    <xf numFmtId="0" fontId="10" fillId="0" borderId="250" xfId="29" applyFont="1" applyBorder="1" applyAlignment="1">
      <alignment horizontal="center" vertical="center" wrapText="1"/>
    </xf>
    <xf numFmtId="3" fontId="10" fillId="0" borderId="112" xfId="29" applyNumberFormat="1" applyFont="1" applyBorder="1" applyAlignment="1">
      <alignment horizontal="center" vertical="center" wrapText="1"/>
    </xf>
    <xf numFmtId="3" fontId="10" fillId="0" borderId="250" xfId="29" applyNumberFormat="1" applyFont="1" applyBorder="1" applyAlignment="1">
      <alignment horizontal="center" vertical="center" wrapText="1"/>
    </xf>
    <xf numFmtId="3" fontId="10" fillId="0" borderId="251" xfId="29" applyNumberFormat="1" applyFont="1" applyBorder="1" applyAlignment="1">
      <alignment horizontal="center" vertical="center" wrapText="1"/>
    </xf>
    <xf numFmtId="3" fontId="10" fillId="0" borderId="93" xfId="29" applyNumberFormat="1" applyFont="1" applyBorder="1" applyAlignment="1">
      <alignment horizontal="center" wrapText="1"/>
    </xf>
    <xf numFmtId="3" fontId="10" fillId="0" borderId="16" xfId="29" applyNumberFormat="1" applyFont="1" applyBorder="1" applyAlignment="1">
      <alignment horizontal="center" vertical="top" wrapText="1"/>
    </xf>
    <xf numFmtId="14" fontId="10" fillId="0" borderId="111" xfId="29" applyNumberFormat="1" applyFont="1" applyBorder="1" applyAlignment="1">
      <alignment horizontal="center" vertical="center" wrapText="1"/>
    </xf>
    <xf numFmtId="3" fontId="10" fillId="0" borderId="94" xfId="29" applyNumberFormat="1" applyFont="1" applyBorder="1" applyAlignment="1">
      <alignment horizontal="center" vertical="center" wrapText="1"/>
    </xf>
    <xf numFmtId="3" fontId="10" fillId="0" borderId="37" xfId="29" applyNumberFormat="1" applyFont="1" applyBorder="1" applyAlignment="1">
      <alignment horizontal="right" vertical="center" wrapText="1"/>
    </xf>
    <xf numFmtId="3" fontId="10" fillId="0" borderId="86" xfId="29" applyNumberFormat="1" applyFont="1" applyBorder="1" applyAlignment="1">
      <alignment horizontal="center" vertical="center" wrapText="1"/>
    </xf>
    <xf numFmtId="3" fontId="10" fillId="0" borderId="20" xfId="29" applyNumberFormat="1" applyFont="1" applyBorder="1" applyAlignment="1">
      <alignment horizontal="right" vertical="center" wrapText="1"/>
    </xf>
    <xf numFmtId="3" fontId="10" fillId="0" borderId="111" xfId="29" applyNumberFormat="1" applyFont="1" applyBorder="1" applyAlignment="1">
      <alignment horizontal="right" vertical="center" wrapText="1"/>
    </xf>
    <xf numFmtId="3" fontId="10" fillId="0" borderId="17" xfId="29" applyNumberFormat="1" applyFont="1" applyBorder="1" applyAlignment="1">
      <alignment horizontal="right" vertical="center" wrapText="1"/>
    </xf>
    <xf numFmtId="3" fontId="10" fillId="0" borderId="93" xfId="29" applyNumberFormat="1" applyFont="1" applyBorder="1" applyAlignment="1">
      <alignment horizontal="center" vertical="center" wrapText="1"/>
    </xf>
    <xf numFmtId="14" fontId="10" fillId="0" borderId="130" xfId="29" applyNumberFormat="1" applyFont="1" applyBorder="1" applyAlignment="1">
      <alignment horizontal="center" vertical="center" wrapText="1"/>
    </xf>
    <xf numFmtId="3" fontId="10" fillId="0" borderId="0" xfId="29" applyNumberFormat="1" applyFont="1" applyAlignment="1">
      <alignment horizontal="right" vertical="center" wrapText="1"/>
    </xf>
    <xf numFmtId="3" fontId="10" fillId="0" borderId="50" xfId="29" applyNumberFormat="1" applyFont="1" applyBorder="1" applyAlignment="1">
      <alignment horizontal="right" vertical="center" wrapText="1"/>
    </xf>
    <xf numFmtId="3" fontId="10" fillId="0" borderId="98" xfId="29" applyNumberFormat="1" applyFont="1" applyBorder="1" applyAlignment="1">
      <alignment horizontal="right" vertical="center" wrapText="1"/>
    </xf>
    <xf numFmtId="3" fontId="10" fillId="0" borderId="120" xfId="29" applyNumberFormat="1" applyFont="1" applyBorder="1" applyAlignment="1">
      <alignment horizontal="right" vertical="center" wrapText="1"/>
    </xf>
    <xf numFmtId="3" fontId="10" fillId="0" borderId="16" xfId="29" applyNumberFormat="1" applyFont="1" applyBorder="1" applyAlignment="1">
      <alignment horizontal="center" wrapText="1"/>
    </xf>
    <xf numFmtId="3" fontId="10" fillId="0" borderId="244" xfId="29" applyNumberFormat="1" applyFont="1" applyBorder="1" applyAlignment="1">
      <alignment horizontal="right" vertical="center" wrapText="1"/>
    </xf>
    <xf numFmtId="3" fontId="10" fillId="0" borderId="16" xfId="29" applyNumberFormat="1" applyFont="1" applyBorder="1" applyAlignment="1">
      <alignment horizontal="right" vertical="center" wrapText="1"/>
    </xf>
    <xf numFmtId="3" fontId="10" fillId="0" borderId="252" xfId="29" applyNumberFormat="1" applyFont="1" applyBorder="1" applyAlignment="1">
      <alignment horizontal="right" vertical="center" wrapText="1"/>
    </xf>
    <xf numFmtId="3" fontId="10" fillId="0" borderId="183" xfId="29" applyNumberFormat="1" applyFont="1" applyBorder="1" applyAlignment="1">
      <alignment horizontal="right" vertical="center" wrapText="1"/>
    </xf>
    <xf numFmtId="3" fontId="12" fillId="0" borderId="253" xfId="29" applyNumberFormat="1" applyFont="1" applyBorder="1" applyAlignment="1">
      <alignment horizontal="right" vertical="center"/>
    </xf>
    <xf numFmtId="3" fontId="12" fillId="0" borderId="254" xfId="29" applyNumberFormat="1" applyFont="1" applyBorder="1" applyAlignment="1">
      <alignment horizontal="right" vertical="center"/>
    </xf>
    <xf numFmtId="3" fontId="12" fillId="0" borderId="49" xfId="29" applyNumberFormat="1" applyFont="1" applyBorder="1" applyAlignment="1">
      <alignment horizontal="right" vertical="center"/>
    </xf>
    <xf numFmtId="3" fontId="12" fillId="0" borderId="237" xfId="29" applyNumberFormat="1" applyFont="1" applyBorder="1" applyAlignment="1">
      <alignment horizontal="right" vertical="center"/>
    </xf>
    <xf numFmtId="3" fontId="12" fillId="0" borderId="100" xfId="29" applyNumberFormat="1" applyFont="1" applyBorder="1" applyAlignment="1">
      <alignment horizontal="right" vertical="center"/>
    </xf>
    <xf numFmtId="3" fontId="12" fillId="0" borderId="238" xfId="29" applyNumberFormat="1" applyFont="1" applyBorder="1" applyAlignment="1">
      <alignment horizontal="right" vertical="center"/>
    </xf>
    <xf numFmtId="3" fontId="10" fillId="0" borderId="0" xfId="29" applyNumberFormat="1" applyFont="1" applyAlignment="1">
      <alignment horizontal="left" wrapText="1"/>
    </xf>
    <xf numFmtId="3" fontId="10" fillId="0" borderId="0" xfId="29" applyNumberFormat="1" applyFont="1" applyAlignment="1">
      <alignment horizontal="center"/>
    </xf>
    <xf numFmtId="14" fontId="10" fillId="0" borderId="0" xfId="29" applyNumberFormat="1" applyFont="1" applyAlignment="1">
      <alignment horizontal="center"/>
    </xf>
    <xf numFmtId="3" fontId="10" fillId="0" borderId="0" xfId="0" applyNumberFormat="1" applyFont="1" applyAlignment="1">
      <alignment vertical="top" shrinkToFit="1"/>
    </xf>
    <xf numFmtId="3" fontId="38" fillId="0" borderId="250" xfId="28" applyNumberFormat="1" applyFont="1" applyBorder="1" applyAlignment="1">
      <alignment horizontal="right" wrapText="1"/>
    </xf>
    <xf numFmtId="3" fontId="38" fillId="0" borderId="20" xfId="31" applyNumberFormat="1" applyFont="1" applyBorder="1" applyAlignment="1">
      <alignment horizontal="right"/>
    </xf>
    <xf numFmtId="3" fontId="13" fillId="0" borderId="113" xfId="31" applyNumberFormat="1" applyFont="1" applyBorder="1" applyAlignment="1">
      <alignment horizontal="right"/>
    </xf>
    <xf numFmtId="3" fontId="38" fillId="0" borderId="113" xfId="31" applyNumberFormat="1" applyFont="1" applyBorder="1" applyAlignment="1">
      <alignment horizontal="right"/>
    </xf>
    <xf numFmtId="3" fontId="12" fillId="0" borderId="113" xfId="31" applyNumberFormat="1" applyFont="1" applyBorder="1" applyAlignment="1">
      <alignment horizontal="right"/>
    </xf>
    <xf numFmtId="3" fontId="38" fillId="0" borderId="94" xfId="31" applyNumberFormat="1" applyFont="1" applyBorder="1" applyAlignment="1">
      <alignment horizontal="right"/>
    </xf>
    <xf numFmtId="3" fontId="10" fillId="0" borderId="104" xfId="31" applyNumberFormat="1" applyFont="1" applyBorder="1" applyAlignment="1">
      <alignment horizontal="right"/>
    </xf>
    <xf numFmtId="3" fontId="13" fillId="0" borderId="104" xfId="31" applyNumberFormat="1" applyFont="1" applyBorder="1" applyAlignment="1">
      <alignment horizontal="right"/>
    </xf>
    <xf numFmtId="3" fontId="38" fillId="0" borderId="22" xfId="31" applyNumberFormat="1" applyFont="1" applyBorder="1" applyAlignment="1">
      <alignment horizontal="right"/>
    </xf>
    <xf numFmtId="3" fontId="37" fillId="0" borderId="20" xfId="31" applyNumberFormat="1" applyFont="1" applyBorder="1" applyAlignment="1">
      <alignment horizontal="right"/>
    </xf>
    <xf numFmtId="3" fontId="12" fillId="0" borderId="20" xfId="31" applyNumberFormat="1" applyFont="1" applyBorder="1" applyAlignment="1">
      <alignment horizontal="right"/>
    </xf>
    <xf numFmtId="3" fontId="13" fillId="0" borderId="20" xfId="31" applyNumberFormat="1" applyFont="1" applyBorder="1" applyAlignment="1">
      <alignment horizontal="right"/>
    </xf>
    <xf numFmtId="3" fontId="38" fillId="0" borderId="120" xfId="31" applyNumberFormat="1" applyFont="1" applyBorder="1" applyAlignment="1">
      <alignment horizontal="right"/>
    </xf>
    <xf numFmtId="3" fontId="13" fillId="0" borderId="94" xfId="31" applyNumberFormat="1" applyFont="1" applyBorder="1" applyAlignment="1">
      <alignment horizontal="right"/>
    </xf>
    <xf numFmtId="3" fontId="54" fillId="0" borderId="94" xfId="31" applyNumberFormat="1" applyFont="1" applyBorder="1" applyAlignment="1">
      <alignment horizontal="right"/>
    </xf>
    <xf numFmtId="3" fontId="37" fillId="0" borderId="94" xfId="31" applyNumberFormat="1" applyFont="1" applyBorder="1" applyAlignment="1">
      <alignment horizontal="right"/>
    </xf>
    <xf numFmtId="3" fontId="12" fillId="0" borderId="94" xfId="31" applyNumberFormat="1" applyFont="1" applyBorder="1" applyAlignment="1">
      <alignment horizontal="right"/>
    </xf>
    <xf numFmtId="3" fontId="38" fillId="0" borderId="0" xfId="31" applyNumberFormat="1" applyFont="1" applyAlignment="1">
      <alignment horizontal="right"/>
    </xf>
    <xf numFmtId="3" fontId="10" fillId="0" borderId="135" xfId="29" applyNumberFormat="1" applyFont="1" applyBorder="1" applyAlignment="1">
      <alignment horizontal="right" vertical="center" wrapText="1"/>
    </xf>
    <xf numFmtId="3" fontId="10" fillId="0" borderId="53" xfId="29" applyNumberFormat="1" applyFont="1" applyBorder="1" applyAlignment="1">
      <alignment horizontal="right" vertical="center" wrapText="1"/>
    </xf>
    <xf numFmtId="3" fontId="10" fillId="0" borderId="181" xfId="29" applyNumberFormat="1" applyFont="1" applyBorder="1" applyAlignment="1">
      <alignment horizontal="center" vertical="center" wrapText="1"/>
    </xf>
    <xf numFmtId="3" fontId="10" fillId="0" borderId="35" xfId="29" applyNumberFormat="1" applyFont="1" applyBorder="1" applyAlignment="1">
      <alignment horizontal="center" wrapText="1"/>
    </xf>
    <xf numFmtId="0" fontId="10" fillId="0" borderId="35" xfId="28" applyFont="1" applyBorder="1" applyAlignment="1">
      <alignment wrapText="1"/>
    </xf>
    <xf numFmtId="3" fontId="10" fillId="0" borderId="257" xfId="29" applyNumberFormat="1" applyFont="1" applyBorder="1" applyAlignment="1">
      <alignment horizontal="right" vertical="center" wrapText="1"/>
    </xf>
    <xf numFmtId="3" fontId="10" fillId="0" borderId="130" xfId="29" applyNumberFormat="1" applyFont="1" applyBorder="1" applyAlignment="1">
      <alignment horizontal="right" vertical="center" wrapText="1"/>
    </xf>
    <xf numFmtId="3" fontId="10" fillId="0" borderId="36" xfId="29" applyNumberFormat="1" applyFont="1" applyBorder="1" applyAlignment="1">
      <alignment horizontal="right" vertical="center" wrapText="1"/>
    </xf>
    <xf numFmtId="3" fontId="10" fillId="0" borderId="51" xfId="29" applyNumberFormat="1" applyFont="1" applyBorder="1" applyAlignment="1">
      <alignment horizontal="center" vertical="center" wrapText="1"/>
    </xf>
    <xf numFmtId="3" fontId="10" fillId="0" borderId="35" xfId="29" applyNumberFormat="1" applyFont="1" applyBorder="1" applyAlignment="1">
      <alignment horizontal="right" vertical="center" wrapText="1"/>
    </xf>
    <xf numFmtId="14" fontId="10" fillId="0" borderId="120" xfId="29" applyNumberFormat="1" applyFont="1" applyBorder="1" applyAlignment="1">
      <alignment horizontal="center" vertical="center" wrapText="1"/>
    </xf>
    <xf numFmtId="3" fontId="10" fillId="0" borderId="15" xfId="29" applyNumberFormat="1" applyFont="1" applyBorder="1" applyAlignment="1">
      <alignment horizontal="center" vertical="center" wrapText="1"/>
    </xf>
    <xf numFmtId="14" fontId="10" fillId="0" borderId="20" xfId="29" applyNumberFormat="1" applyFont="1" applyBorder="1" applyAlignment="1">
      <alignment horizontal="center" vertical="center" wrapText="1"/>
    </xf>
    <xf numFmtId="3" fontId="10" fillId="0" borderId="86" xfId="29" applyNumberFormat="1" applyFont="1" applyBorder="1" applyAlignment="1">
      <alignment horizontal="right" vertical="center" wrapText="1"/>
    </xf>
    <xf numFmtId="3" fontId="10" fillId="0" borderId="35" xfId="29" applyNumberFormat="1" applyFont="1" applyBorder="1" applyAlignment="1">
      <alignment horizontal="center" vertical="top" wrapText="1"/>
    </xf>
    <xf numFmtId="0" fontId="10" fillId="0" borderId="0" xfId="31" applyFont="1" applyAlignment="1">
      <alignment vertical="top"/>
    </xf>
    <xf numFmtId="0" fontId="13" fillId="0" borderId="0" xfId="0" applyFont="1" applyAlignment="1">
      <alignment horizontal="left" wrapText="1" indent="2"/>
    </xf>
    <xf numFmtId="3" fontId="20" fillId="0" borderId="52" xfId="0" applyNumberFormat="1" applyFont="1" applyBorder="1" applyAlignment="1">
      <alignment horizontal="center" vertical="center"/>
    </xf>
    <xf numFmtId="0" fontId="10" fillId="0" borderId="16" xfId="28" applyFont="1" applyBorder="1" applyAlignment="1">
      <alignment horizontal="left" wrapText="1"/>
    </xf>
    <xf numFmtId="0" fontId="12" fillId="0" borderId="0" xfId="0" applyFont="1" applyAlignment="1">
      <alignment shrinkToFit="1"/>
    </xf>
    <xf numFmtId="0" fontId="10" fillId="0" borderId="0" xfId="28" applyFont="1" applyAlignment="1">
      <alignment shrinkToFit="1"/>
    </xf>
    <xf numFmtId="3" fontId="33" fillId="0" borderId="0" xfId="0" applyNumberFormat="1" applyFont="1" applyAlignment="1">
      <alignment horizontal="center"/>
    </xf>
    <xf numFmtId="3" fontId="19" fillId="0" borderId="36" xfId="0" applyNumberFormat="1" applyFont="1" applyBorder="1" applyAlignment="1">
      <alignment horizontal="right"/>
    </xf>
    <xf numFmtId="3" fontId="20" fillId="0" borderId="0" xfId="0" applyNumberFormat="1" applyFont="1" applyAlignment="1">
      <alignment horizontal="center" vertical="center"/>
    </xf>
    <xf numFmtId="3" fontId="20" fillId="0" borderId="221" xfId="0" applyNumberFormat="1" applyFont="1" applyBorder="1" applyAlignment="1">
      <alignment vertical="center"/>
    </xf>
    <xf numFmtId="3" fontId="23" fillId="0" borderId="17" xfId="0" applyNumberFormat="1" applyFont="1" applyBorder="1" applyAlignment="1">
      <alignment vertical="center"/>
    </xf>
    <xf numFmtId="3" fontId="17" fillId="0" borderId="36" xfId="0" applyNumberFormat="1" applyFont="1" applyBorder="1" applyAlignment="1">
      <alignment horizontal="right" wrapText="1"/>
    </xf>
    <xf numFmtId="3" fontId="19" fillId="0" borderId="36" xfId="0" applyNumberFormat="1" applyFont="1" applyBorder="1" applyAlignment="1">
      <alignment horizontal="right" wrapText="1"/>
    </xf>
    <xf numFmtId="0" fontId="19" fillId="0" borderId="183" xfId="28" applyFont="1" applyBorder="1" applyAlignment="1">
      <alignment horizontal="left"/>
    </xf>
    <xf numFmtId="3" fontId="19" fillId="0" borderId="121" xfId="0" applyNumberFormat="1" applyFont="1" applyBorder="1"/>
    <xf numFmtId="0" fontId="48" fillId="0" borderId="0" xfId="0" applyFont="1" applyAlignment="1">
      <alignment horizontal="left" wrapText="1" indent="2"/>
    </xf>
    <xf numFmtId="0" fontId="12" fillId="0" borderId="203" xfId="31" applyFont="1" applyBorder="1" applyAlignment="1">
      <alignment horizontal="center"/>
    </xf>
    <xf numFmtId="0" fontId="10" fillId="0" borderId="118" xfId="31" applyFont="1" applyBorder="1" applyAlignment="1">
      <alignment horizontal="center" vertical="top"/>
    </xf>
    <xf numFmtId="3" fontId="10" fillId="0" borderId="118" xfId="31" applyNumberFormat="1" applyFont="1" applyBorder="1" applyAlignment="1">
      <alignment horizontal="right"/>
    </xf>
    <xf numFmtId="3" fontId="10" fillId="0" borderId="258" xfId="31" applyNumberFormat="1" applyFont="1" applyBorder="1" applyAlignment="1">
      <alignment horizontal="right"/>
    </xf>
    <xf numFmtId="0" fontId="10" fillId="0" borderId="124" xfId="31" applyFont="1" applyBorder="1" applyAlignment="1">
      <alignment horizontal="center" wrapText="1"/>
    </xf>
    <xf numFmtId="3" fontId="12" fillId="0" borderId="119" xfId="31" applyNumberFormat="1" applyFont="1" applyBorder="1" applyAlignment="1">
      <alignment horizontal="right"/>
    </xf>
    <xf numFmtId="3" fontId="12" fillId="0" borderId="258" xfId="31" applyNumberFormat="1" applyFont="1" applyBorder="1" applyAlignment="1">
      <alignment horizontal="right"/>
    </xf>
    <xf numFmtId="3" fontId="12" fillId="0" borderId="136" xfId="28" applyNumberFormat="1" applyFont="1" applyBorder="1" applyAlignment="1">
      <alignment horizontal="right" wrapText="1"/>
    </xf>
    <xf numFmtId="3" fontId="37" fillId="0" borderId="200" xfId="31" applyNumberFormat="1" applyFont="1" applyBorder="1" applyAlignment="1">
      <alignment horizontal="right"/>
    </xf>
    <xf numFmtId="3" fontId="10" fillId="0" borderId="16" xfId="26" applyNumberFormat="1" applyFont="1" applyBorder="1" applyAlignment="1">
      <alignment horizontal="left" indent="2"/>
    </xf>
    <xf numFmtId="3" fontId="13" fillId="0" borderId="9" xfId="0" applyNumberFormat="1" applyFont="1" applyBorder="1"/>
    <xf numFmtId="0" fontId="10" fillId="0" borderId="0" xfId="0" applyFont="1" applyAlignment="1">
      <alignment horizontal="left"/>
    </xf>
    <xf numFmtId="0" fontId="12" fillId="0" borderId="0" xfId="0" applyFont="1" applyAlignment="1">
      <alignment horizontal="center" vertical="center"/>
    </xf>
    <xf numFmtId="3" fontId="10" fillId="0" borderId="0" xfId="26" applyNumberFormat="1" applyFont="1" applyAlignment="1">
      <alignment horizontal="left"/>
    </xf>
    <xf numFmtId="3" fontId="12" fillId="0" borderId="0" xfId="26" applyNumberFormat="1" applyFont="1" applyAlignment="1">
      <alignment horizontal="center" vertical="center"/>
    </xf>
    <xf numFmtId="3" fontId="17" fillId="0" borderId="142" xfId="0" applyNumberFormat="1" applyFont="1" applyBorder="1" applyAlignment="1">
      <alignment horizontal="center" vertical="center" wrapText="1"/>
    </xf>
    <xf numFmtId="3" fontId="23" fillId="0" borderId="228" xfId="0" applyNumberFormat="1" applyFont="1" applyBorder="1" applyAlignment="1">
      <alignment horizontal="left" vertical="center"/>
    </xf>
    <xf numFmtId="3" fontId="23" fillId="0" borderId="70" xfId="0" applyNumberFormat="1" applyFont="1" applyBorder="1" applyAlignment="1">
      <alignment horizontal="left" vertical="center"/>
    </xf>
    <xf numFmtId="3" fontId="23" fillId="0" borderId="229" xfId="0" applyNumberFormat="1" applyFont="1" applyBorder="1" applyAlignment="1">
      <alignment horizontal="left" vertical="center"/>
    </xf>
    <xf numFmtId="3" fontId="10" fillId="0" borderId="0" xfId="0" applyNumberFormat="1" applyFont="1" applyAlignment="1">
      <alignment horizontal="left" vertical="center"/>
    </xf>
    <xf numFmtId="3" fontId="12" fillId="0" borderId="0" xfId="0" applyNumberFormat="1" applyFont="1" applyAlignment="1">
      <alignment horizontal="center" vertical="center"/>
    </xf>
    <xf numFmtId="3" fontId="14" fillId="0" borderId="6" xfId="0" applyNumberFormat="1" applyFont="1" applyBorder="1" applyAlignment="1">
      <alignment horizontal="center" vertical="center"/>
    </xf>
    <xf numFmtId="3" fontId="17" fillId="0" borderId="137" xfId="0" applyNumberFormat="1" applyFont="1" applyBorder="1" applyAlignment="1">
      <alignment horizontal="center" vertical="center" textRotation="90"/>
    </xf>
    <xf numFmtId="3" fontId="17" fillId="0" borderId="138" xfId="0" applyNumberFormat="1" applyFont="1" applyBorder="1" applyAlignment="1">
      <alignment horizontal="center" vertical="center" textRotation="90"/>
    </xf>
    <xf numFmtId="3" fontId="17" fillId="0" borderId="143" xfId="0" applyNumberFormat="1" applyFont="1" applyBorder="1" applyAlignment="1">
      <alignment horizontal="center" vertical="center" textRotation="90"/>
    </xf>
    <xf numFmtId="0" fontId="0" fillId="0" borderId="78" xfId="0" applyBorder="1" applyAlignment="1">
      <alignment horizontal="center" vertical="center"/>
    </xf>
    <xf numFmtId="3" fontId="20" fillId="0" borderId="143" xfId="0" applyNumberFormat="1" applyFont="1" applyBorder="1" applyAlignment="1">
      <alignment horizontal="center" vertical="center"/>
    </xf>
    <xf numFmtId="3" fontId="20" fillId="0" borderId="84" xfId="0" applyNumberFormat="1" applyFont="1" applyBorder="1" applyAlignment="1">
      <alignment horizontal="center" vertical="center"/>
    </xf>
    <xf numFmtId="3" fontId="20" fillId="0" borderId="78" xfId="0" applyNumberFormat="1" applyFont="1" applyBorder="1" applyAlignment="1">
      <alignment horizontal="center" vertical="center"/>
    </xf>
    <xf numFmtId="3" fontId="20" fillId="0" borderId="19" xfId="0" applyNumberFormat="1" applyFont="1" applyBorder="1" applyAlignment="1">
      <alignment horizontal="center" vertical="center"/>
    </xf>
    <xf numFmtId="3" fontId="17" fillId="0" borderId="139" xfId="0" applyNumberFormat="1" applyFont="1" applyBorder="1" applyAlignment="1">
      <alignment horizontal="center" vertical="center" wrapText="1"/>
    </xf>
    <xf numFmtId="3" fontId="17" fillId="0" borderId="132" xfId="0" applyNumberFormat="1" applyFont="1" applyBorder="1" applyAlignment="1">
      <alignment horizontal="center" vertical="center" wrapText="1"/>
    </xf>
    <xf numFmtId="3" fontId="17" fillId="0" borderId="146" xfId="0" applyNumberFormat="1" applyFont="1" applyBorder="1" applyAlignment="1">
      <alignment horizontal="center" vertical="center" wrapText="1"/>
    </xf>
    <xf numFmtId="3" fontId="17" fillId="0" borderId="147" xfId="0" applyNumberFormat="1" applyFont="1" applyBorder="1" applyAlignment="1">
      <alignment horizontal="center" vertical="center" wrapText="1"/>
    </xf>
    <xf numFmtId="3" fontId="17" fillId="0" borderId="7" xfId="0" applyNumberFormat="1" applyFont="1" applyBorder="1" applyAlignment="1">
      <alignment horizontal="center" vertical="center" wrapText="1"/>
    </xf>
    <xf numFmtId="3" fontId="20" fillId="0" borderId="84" xfId="0" applyNumberFormat="1" applyFont="1" applyBorder="1" applyAlignment="1">
      <alignment horizontal="center" vertical="center" wrapText="1"/>
    </xf>
    <xf numFmtId="3" fontId="20" fillId="0" borderId="19" xfId="0" applyNumberFormat="1" applyFont="1" applyBorder="1" applyAlignment="1">
      <alignment horizontal="center" vertical="center" wrapText="1"/>
    </xf>
    <xf numFmtId="3" fontId="17" fillId="0" borderId="142" xfId="0" applyNumberFormat="1" applyFont="1" applyBorder="1" applyAlignment="1">
      <alignment horizontal="center" vertical="center"/>
    </xf>
    <xf numFmtId="3" fontId="20" fillId="0" borderId="22" xfId="30" applyNumberFormat="1" applyFont="1" applyBorder="1" applyAlignment="1">
      <alignment horizontal="left" wrapText="1"/>
    </xf>
    <xf numFmtId="3" fontId="20" fillId="0" borderId="54" xfId="30" applyNumberFormat="1" applyFont="1" applyBorder="1" applyAlignment="1">
      <alignment horizontal="left" wrapText="1"/>
    </xf>
    <xf numFmtId="3" fontId="23" fillId="0" borderId="107" xfId="0" applyNumberFormat="1" applyFont="1" applyBorder="1" applyAlignment="1">
      <alignment horizontal="left" vertical="center"/>
    </xf>
    <xf numFmtId="3" fontId="23" fillId="0" borderId="140" xfId="0" applyNumberFormat="1" applyFont="1" applyBorder="1" applyAlignment="1">
      <alignment horizontal="left" vertical="center"/>
    </xf>
    <xf numFmtId="3" fontId="23" fillId="0" borderId="87" xfId="0" applyNumberFormat="1" applyFont="1" applyBorder="1" applyAlignment="1">
      <alignment horizontal="left" vertical="center"/>
    </xf>
    <xf numFmtId="3" fontId="17" fillId="0" borderId="20" xfId="30" applyNumberFormat="1" applyFont="1" applyBorder="1" applyAlignment="1">
      <alignment horizontal="left" wrapText="1"/>
    </xf>
    <xf numFmtId="3" fontId="17" fillId="0" borderId="86" xfId="30" applyNumberFormat="1" applyFont="1" applyBorder="1" applyAlignment="1">
      <alignment horizontal="left" wrapText="1"/>
    </xf>
    <xf numFmtId="3" fontId="20" fillId="0" borderId="141" xfId="30" applyNumberFormat="1" applyFont="1" applyBorder="1" applyAlignment="1">
      <alignment horizontal="center" vertical="center"/>
    </xf>
    <xf numFmtId="3" fontId="20" fillId="0" borderId="105" xfId="30" applyNumberFormat="1" applyFont="1" applyBorder="1" applyAlignment="1">
      <alignment horizontal="center" vertical="center"/>
    </xf>
    <xf numFmtId="3" fontId="20" fillId="0" borderId="97" xfId="30" applyNumberFormat="1" applyFont="1" applyBorder="1" applyAlignment="1">
      <alignment horizontal="center" vertical="center"/>
    </xf>
    <xf numFmtId="3" fontId="20" fillId="0" borderId="20" xfId="30" applyNumberFormat="1" applyFont="1" applyBorder="1" applyAlignment="1">
      <alignment horizontal="left" wrapText="1"/>
    </xf>
    <xf numFmtId="3" fontId="20" fillId="0" borderId="86" xfId="30" applyNumberFormat="1" applyFont="1" applyBorder="1" applyAlignment="1">
      <alignment horizontal="left" wrapText="1"/>
    </xf>
    <xf numFmtId="3" fontId="20" fillId="0" borderId="141" xfId="0" applyNumberFormat="1" applyFont="1" applyBorder="1" applyAlignment="1">
      <alignment horizontal="center" vertical="center"/>
    </xf>
    <xf numFmtId="3" fontId="20" fillId="0" borderId="105" xfId="0" applyNumberFormat="1" applyFont="1" applyBorder="1" applyAlignment="1">
      <alignment horizontal="center" vertical="center"/>
    </xf>
    <xf numFmtId="3" fontId="20" fillId="0" borderId="97" xfId="0" applyNumberFormat="1" applyFont="1" applyBorder="1" applyAlignment="1">
      <alignment horizontal="center" vertical="center"/>
    </xf>
    <xf numFmtId="3" fontId="20" fillId="0" borderId="55" xfId="30" applyNumberFormat="1" applyFont="1" applyBorder="1" applyAlignment="1">
      <alignment horizontal="left" wrapText="1"/>
    </xf>
    <xf numFmtId="3" fontId="20" fillId="0" borderId="105" xfId="30" applyNumberFormat="1" applyFont="1" applyBorder="1" applyAlignment="1">
      <alignment horizontal="left" wrapText="1"/>
    </xf>
    <xf numFmtId="0" fontId="17" fillId="0" borderId="16" xfId="0" applyFont="1" applyBorder="1" applyAlignment="1">
      <alignment horizontal="left" wrapText="1"/>
    </xf>
    <xf numFmtId="3" fontId="60" fillId="0" borderId="20" xfId="30" applyNumberFormat="1" applyFont="1" applyBorder="1" applyAlignment="1">
      <alignment horizontal="left" wrapText="1"/>
    </xf>
    <xf numFmtId="3" fontId="60" fillId="0" borderId="86" xfId="30" applyNumberFormat="1" applyFont="1" applyBorder="1" applyAlignment="1">
      <alignment horizontal="left" wrapText="1"/>
    </xf>
    <xf numFmtId="3" fontId="19" fillId="0" borderId="15" xfId="0" applyNumberFormat="1" applyFont="1" applyBorder="1" applyAlignment="1">
      <alignment horizontal="left" vertical="top" wrapText="1"/>
    </xf>
    <xf numFmtId="3" fontId="19" fillId="0" borderId="86" xfId="0" applyNumberFormat="1" applyFont="1" applyBorder="1" applyAlignment="1">
      <alignment horizontal="left" vertical="top" wrapText="1"/>
    </xf>
    <xf numFmtId="3" fontId="19" fillId="0" borderId="16" xfId="0" applyNumberFormat="1" applyFont="1" applyBorder="1" applyAlignment="1">
      <alignment horizontal="left" vertical="top" wrapText="1"/>
    </xf>
    <xf numFmtId="3" fontId="23" fillId="0" borderId="107" xfId="30" applyNumberFormat="1" applyFont="1" applyBorder="1" applyAlignment="1">
      <alignment horizontal="left" vertical="center"/>
    </xf>
    <xf numFmtId="3" fontId="23" fillId="0" borderId="140" xfId="30" applyNumberFormat="1" applyFont="1" applyBorder="1" applyAlignment="1">
      <alignment horizontal="left" vertical="center"/>
    </xf>
    <xf numFmtId="3" fontId="23" fillId="0" borderId="87" xfId="30" applyNumberFormat="1" applyFont="1" applyBorder="1" applyAlignment="1">
      <alignment horizontal="left" vertical="center"/>
    </xf>
    <xf numFmtId="3" fontId="19" fillId="0" borderId="32" xfId="0" applyNumberFormat="1" applyFont="1" applyBorder="1" applyAlignment="1">
      <alignment horizontal="left" vertical="center"/>
    </xf>
    <xf numFmtId="3" fontId="19" fillId="0" borderId="97" xfId="0" applyNumberFormat="1" applyFont="1" applyBorder="1" applyAlignment="1">
      <alignment horizontal="left" vertical="center"/>
    </xf>
    <xf numFmtId="3" fontId="19" fillId="0" borderId="33" xfId="0" applyNumberFormat="1" applyFont="1" applyBorder="1" applyAlignment="1">
      <alignment horizontal="left" vertical="center"/>
    </xf>
    <xf numFmtId="3" fontId="19" fillId="0" borderId="93" xfId="0" applyNumberFormat="1" applyFont="1" applyBorder="1" applyAlignment="1">
      <alignment horizontal="left" vertical="center" wrapText="1"/>
    </xf>
    <xf numFmtId="3" fontId="19" fillId="0" borderId="94" xfId="0" applyNumberFormat="1" applyFont="1" applyBorder="1" applyAlignment="1">
      <alignment horizontal="left" vertical="center" wrapText="1"/>
    </xf>
    <xf numFmtId="3" fontId="19" fillId="0" borderId="86" xfId="0" applyNumberFormat="1" applyFont="1" applyBorder="1" applyAlignment="1">
      <alignment horizontal="left" vertical="center" wrapText="1"/>
    </xf>
    <xf numFmtId="3" fontId="19" fillId="0" borderId="15" xfId="0" applyNumberFormat="1" applyFont="1" applyBorder="1" applyAlignment="1">
      <alignment horizontal="left" vertical="center" wrapText="1"/>
    </xf>
    <xf numFmtId="3" fontId="19" fillId="0" borderId="16" xfId="0" applyNumberFormat="1" applyFont="1" applyBorder="1" applyAlignment="1">
      <alignment horizontal="left" vertical="center" wrapText="1"/>
    </xf>
    <xf numFmtId="3" fontId="20" fillId="0" borderId="148" xfId="0" applyNumberFormat="1" applyFont="1" applyBorder="1" applyAlignment="1">
      <alignment horizontal="center" vertical="center" wrapText="1"/>
    </xf>
    <xf numFmtId="3" fontId="20" fillId="0" borderId="149" xfId="0" applyNumberFormat="1" applyFont="1" applyBorder="1" applyAlignment="1">
      <alignment horizontal="center" vertical="center" wrapText="1"/>
    </xf>
    <xf numFmtId="3" fontId="17" fillId="0" borderId="83" xfId="0" applyNumberFormat="1" applyFont="1" applyBorder="1" applyAlignment="1">
      <alignment horizontal="center" vertical="center"/>
    </xf>
    <xf numFmtId="3" fontId="17" fillId="0" borderId="81" xfId="0" applyNumberFormat="1" applyFont="1" applyBorder="1" applyAlignment="1">
      <alignment horizontal="center" vertical="center"/>
    </xf>
    <xf numFmtId="3" fontId="17" fillId="0" borderId="84" xfId="0" applyNumberFormat="1" applyFont="1" applyBorder="1" applyAlignment="1">
      <alignment horizontal="center" vertical="center"/>
    </xf>
    <xf numFmtId="3" fontId="19" fillId="0" borderId="20" xfId="30" applyNumberFormat="1" applyFont="1" applyBorder="1" applyAlignment="1">
      <alignment horizontal="left"/>
    </xf>
    <xf numFmtId="3" fontId="19" fillId="0" borderId="86" xfId="30" applyNumberFormat="1" applyFont="1" applyBorder="1" applyAlignment="1">
      <alignment horizontal="left"/>
    </xf>
    <xf numFmtId="0" fontId="17" fillId="0" borderId="20" xfId="0" applyFont="1" applyBorder="1" applyAlignment="1">
      <alignment horizontal="left" wrapText="1"/>
    </xf>
    <xf numFmtId="0" fontId="17" fillId="0" borderId="86" xfId="0" applyFont="1" applyBorder="1" applyAlignment="1">
      <alignment horizontal="left" wrapText="1"/>
    </xf>
    <xf numFmtId="3" fontId="17" fillId="0" borderId="142" xfId="26" applyNumberFormat="1" applyFont="1" applyBorder="1" applyAlignment="1">
      <alignment horizontal="center" vertical="center" wrapText="1"/>
    </xf>
    <xf numFmtId="0" fontId="19" fillId="0" borderId="20" xfId="28" applyFont="1" applyBorder="1" applyAlignment="1">
      <alignment horizontal="left" wrapText="1"/>
    </xf>
    <xf numFmtId="0" fontId="19" fillId="0" borderId="86" xfId="28" applyFont="1" applyBorder="1" applyAlignment="1">
      <alignment horizontal="left" wrapText="1"/>
    </xf>
    <xf numFmtId="3" fontId="19" fillId="0" borderId="0" xfId="0" applyNumberFormat="1" applyFont="1" applyAlignment="1">
      <alignment horizontal="right"/>
    </xf>
    <xf numFmtId="3" fontId="17" fillId="0" borderId="139" xfId="0" applyNumberFormat="1" applyFont="1" applyBorder="1" applyAlignment="1">
      <alignment horizontal="center" vertical="center" textRotation="90"/>
    </xf>
    <xf numFmtId="3" fontId="17" fillId="0" borderId="132" xfId="0" applyNumberFormat="1" applyFont="1" applyBorder="1" applyAlignment="1">
      <alignment horizontal="center" vertical="center" textRotation="90"/>
    </xf>
    <xf numFmtId="3" fontId="20" fillId="0" borderId="144" xfId="0" applyNumberFormat="1" applyFont="1" applyBorder="1" applyAlignment="1">
      <alignment horizontal="center" vertical="center"/>
    </xf>
    <xf numFmtId="3" fontId="20" fillId="0" borderId="145" xfId="0" applyNumberFormat="1" applyFont="1" applyBorder="1" applyAlignment="1">
      <alignment horizontal="center" vertical="center"/>
    </xf>
    <xf numFmtId="3" fontId="17" fillId="0" borderId="139" xfId="0" applyNumberFormat="1" applyFont="1" applyBorder="1" applyAlignment="1">
      <alignment horizontal="center" vertical="center" textRotation="90" wrapText="1"/>
    </xf>
    <xf numFmtId="0" fontId="0" fillId="0" borderId="132" xfId="0" applyBorder="1" applyAlignment="1">
      <alignment horizontal="center" vertical="center" textRotation="90" wrapText="1"/>
    </xf>
    <xf numFmtId="0" fontId="20" fillId="0" borderId="11" xfId="32" applyFont="1" applyBorder="1" applyAlignment="1" applyProtection="1">
      <alignment horizontal="center" vertical="center"/>
      <protection locked="0"/>
    </xf>
    <xf numFmtId="0" fontId="20" fillId="0" borderId="12" xfId="32" applyFont="1" applyBorder="1" applyAlignment="1" applyProtection="1">
      <alignment horizontal="center" vertical="center"/>
      <protection locked="0"/>
    </xf>
    <xf numFmtId="3" fontId="20" fillId="0" borderId="25" xfId="31" applyNumberFormat="1" applyFont="1" applyBorder="1" applyAlignment="1" applyProtection="1">
      <alignment horizontal="center" vertical="center" wrapText="1"/>
      <protection locked="0"/>
    </xf>
    <xf numFmtId="3" fontId="20" fillId="0" borderId="26" xfId="31" applyNumberFormat="1" applyFont="1" applyBorder="1" applyAlignment="1" applyProtection="1">
      <alignment horizontal="center" vertical="center" wrapText="1"/>
      <protection locked="0"/>
    </xf>
    <xf numFmtId="0" fontId="12" fillId="0" borderId="0" xfId="31" applyFont="1" applyAlignment="1" applyProtection="1">
      <alignment horizontal="center"/>
      <protection locked="0"/>
    </xf>
    <xf numFmtId="0" fontId="12" fillId="0" borderId="0" xfId="32" applyFont="1" applyAlignment="1" applyProtection="1">
      <alignment horizontal="center" vertical="center"/>
      <protection locked="0"/>
    </xf>
    <xf numFmtId="0" fontId="20" fillId="0" borderId="100" xfId="32" applyFont="1" applyBorder="1" applyAlignment="1" applyProtection="1">
      <alignment horizontal="center" vertical="center"/>
      <protection locked="0"/>
    </xf>
    <xf numFmtId="3" fontId="20" fillId="0" borderId="188" xfId="31" applyNumberFormat="1" applyFont="1" applyBorder="1" applyAlignment="1" applyProtection="1">
      <alignment horizontal="center" vertical="center" wrapText="1"/>
      <protection locked="0"/>
    </xf>
    <xf numFmtId="3" fontId="20" fillId="0" borderId="74" xfId="31" applyNumberFormat="1" applyFont="1" applyBorder="1" applyAlignment="1" applyProtection="1">
      <alignment horizontal="center" vertical="center" wrapText="1"/>
      <protection locked="0"/>
    </xf>
    <xf numFmtId="3" fontId="17" fillId="0" borderId="139" xfId="31" applyNumberFormat="1" applyFont="1" applyBorder="1" applyAlignment="1" applyProtection="1">
      <alignment horizontal="center" vertical="center" wrapText="1"/>
      <protection locked="0"/>
    </xf>
    <xf numFmtId="3" fontId="17" fillId="0" borderId="132" xfId="31" applyNumberFormat="1" applyFont="1" applyBorder="1" applyAlignment="1" applyProtection="1">
      <alignment horizontal="center" vertical="center" wrapText="1"/>
      <protection locked="0"/>
    </xf>
    <xf numFmtId="3" fontId="17" fillId="0" borderId="143" xfId="31" applyNumberFormat="1" applyFont="1" applyBorder="1" applyAlignment="1" applyProtection="1">
      <alignment horizontal="center" vertical="center" wrapText="1"/>
      <protection locked="0"/>
    </xf>
    <xf numFmtId="3" fontId="17" fillId="0" borderId="78" xfId="31" applyNumberFormat="1" applyFont="1" applyBorder="1" applyAlignment="1" applyProtection="1">
      <alignment horizontal="center" vertical="center" wrapText="1"/>
      <protection locked="0"/>
    </xf>
    <xf numFmtId="0" fontId="20" fillId="0" borderId="44" xfId="32" applyFont="1" applyBorder="1" applyAlignment="1" applyProtection="1">
      <alignment horizontal="center" vertical="center"/>
      <protection locked="0"/>
    </xf>
    <xf numFmtId="0" fontId="20" fillId="0" borderId="28" xfId="32" applyFont="1" applyBorder="1" applyAlignment="1" applyProtection="1">
      <alignment horizontal="center" vertical="center"/>
      <protection locked="0"/>
    </xf>
    <xf numFmtId="0" fontId="20" fillId="0" borderId="131" xfId="32" applyFont="1" applyBorder="1" applyAlignment="1" applyProtection="1">
      <alignment horizontal="center" vertical="center"/>
      <protection locked="0"/>
    </xf>
    <xf numFmtId="0" fontId="10" fillId="0" borderId="0" xfId="32" applyFont="1" applyAlignment="1" applyProtection="1">
      <alignment horizontal="left" vertical="center"/>
      <protection locked="0"/>
    </xf>
    <xf numFmtId="3" fontId="17" fillId="0" borderId="137" xfId="27" applyNumberFormat="1" applyFont="1" applyBorder="1" applyAlignment="1" applyProtection="1">
      <alignment horizontal="center" vertical="center" textRotation="90"/>
      <protection locked="0"/>
    </xf>
    <xf numFmtId="3" fontId="17" fillId="0" borderId="138" xfId="27" applyNumberFormat="1" applyFont="1" applyBorder="1" applyAlignment="1" applyProtection="1">
      <alignment horizontal="center" vertical="center" textRotation="90"/>
      <protection locked="0"/>
    </xf>
    <xf numFmtId="3" fontId="17" fillId="0" borderId="139" xfId="27" applyNumberFormat="1" applyFont="1" applyBorder="1" applyAlignment="1" applyProtection="1">
      <alignment horizontal="center" vertical="center" textRotation="90"/>
      <protection locked="0"/>
    </xf>
    <xf numFmtId="3" fontId="17" fillId="0" borderId="132" xfId="27" applyNumberFormat="1" applyFont="1" applyBorder="1" applyAlignment="1" applyProtection="1">
      <alignment horizontal="center" vertical="center" textRotation="90"/>
      <protection locked="0"/>
    </xf>
    <xf numFmtId="0" fontId="20" fillId="0" borderId="139" xfId="31" applyFont="1" applyBorder="1" applyAlignment="1" applyProtection="1">
      <alignment horizontal="center" vertical="center" wrapText="1"/>
      <protection locked="0"/>
    </xf>
    <xf numFmtId="0" fontId="20" fillId="0" borderId="132" xfId="31" applyFont="1" applyBorder="1" applyAlignment="1" applyProtection="1">
      <alignment horizontal="center" vertical="center" wrapText="1"/>
      <protection locked="0"/>
    </xf>
    <xf numFmtId="0" fontId="17" fillId="0" borderId="139" xfId="31" applyFont="1" applyBorder="1" applyAlignment="1" applyProtection="1">
      <alignment horizontal="center" vertical="center" textRotation="90" wrapText="1"/>
      <protection locked="0"/>
    </xf>
    <xf numFmtId="0" fontId="17" fillId="0" borderId="132" xfId="31" applyFont="1" applyBorder="1" applyAlignment="1" applyProtection="1">
      <alignment horizontal="center" vertical="center" textRotation="90" wrapText="1"/>
      <protection locked="0"/>
    </xf>
    <xf numFmtId="0" fontId="19" fillId="0" borderId="139" xfId="31" applyFont="1" applyBorder="1" applyAlignment="1" applyProtection="1">
      <alignment horizontal="center" vertical="center"/>
      <protection locked="0"/>
    </xf>
    <xf numFmtId="0" fontId="19" fillId="0" borderId="171" xfId="31" applyFont="1" applyBorder="1" applyAlignment="1" applyProtection="1">
      <alignment horizontal="center" vertical="center"/>
      <protection locked="0"/>
    </xf>
    <xf numFmtId="3" fontId="20" fillId="0" borderId="139" xfId="31" applyNumberFormat="1" applyFont="1" applyBorder="1" applyAlignment="1" applyProtection="1">
      <alignment horizontal="center" vertical="center" wrapText="1"/>
      <protection locked="0"/>
    </xf>
    <xf numFmtId="3" fontId="20" fillId="0" borderId="171" xfId="31" applyNumberFormat="1" applyFont="1" applyBorder="1" applyAlignment="1" applyProtection="1">
      <alignment horizontal="center" vertical="center" wrapText="1"/>
      <protection locked="0"/>
    </xf>
    <xf numFmtId="3" fontId="19" fillId="0" borderId="0" xfId="27" applyNumberFormat="1" applyFont="1" applyAlignment="1">
      <alignment horizontal="right"/>
    </xf>
    <xf numFmtId="3" fontId="20" fillId="0" borderId="22" xfId="27" applyNumberFormat="1" applyFont="1" applyBorder="1" applyAlignment="1">
      <alignment horizontal="center" vertical="center" wrapText="1"/>
    </xf>
    <xf numFmtId="3" fontId="20" fillId="0" borderId="104" xfId="27" applyNumberFormat="1" applyFont="1" applyBorder="1" applyAlignment="1">
      <alignment horizontal="center" vertical="center" wrapText="1"/>
    </xf>
    <xf numFmtId="3" fontId="20" fillId="0" borderId="189" xfId="27" applyNumberFormat="1" applyFont="1" applyBorder="1" applyAlignment="1">
      <alignment horizontal="center" vertical="center" wrapText="1"/>
    </xf>
    <xf numFmtId="3" fontId="14" fillId="0" borderId="0" xfId="0" applyNumberFormat="1" applyFont="1" applyAlignment="1">
      <alignment horizontal="left" vertical="top"/>
    </xf>
    <xf numFmtId="3" fontId="20" fillId="0" borderId="151" xfId="27" applyNumberFormat="1" applyFont="1" applyBorder="1" applyAlignment="1">
      <alignment horizontal="center" vertical="center" wrapText="1"/>
    </xf>
    <xf numFmtId="3" fontId="20" fillId="0" borderId="152" xfId="27" applyNumberFormat="1" applyFont="1" applyBorder="1" applyAlignment="1">
      <alignment horizontal="center" vertical="center" wrapText="1"/>
    </xf>
    <xf numFmtId="3" fontId="17" fillId="0" borderId="153" xfId="0" applyNumberFormat="1" applyFont="1" applyBorder="1" applyAlignment="1">
      <alignment horizontal="center" vertical="center"/>
    </xf>
    <xf numFmtId="3" fontId="17" fillId="0" borderId="154" xfId="0" applyNumberFormat="1" applyFont="1" applyBorder="1" applyAlignment="1">
      <alignment horizontal="center" vertical="center"/>
    </xf>
    <xf numFmtId="3" fontId="17" fillId="0" borderId="151" xfId="27" applyNumberFormat="1" applyFont="1" applyBorder="1" applyAlignment="1">
      <alignment horizontal="center" vertical="center" wrapText="1"/>
    </xf>
    <xf numFmtId="3" fontId="17" fillId="0" borderId="152" xfId="27" applyNumberFormat="1" applyFont="1" applyBorder="1" applyAlignment="1">
      <alignment horizontal="center" vertical="center" wrapText="1"/>
    </xf>
    <xf numFmtId="3" fontId="17" fillId="0" borderId="155" xfId="27" applyNumberFormat="1" applyFont="1" applyBorder="1" applyAlignment="1">
      <alignment horizontal="center" vertical="center" textRotation="90"/>
    </xf>
    <xf numFmtId="3" fontId="17" fillId="0" borderId="156" xfId="27" applyNumberFormat="1" applyFont="1" applyBorder="1" applyAlignment="1">
      <alignment horizontal="center" vertical="center" textRotation="90"/>
    </xf>
    <xf numFmtId="3" fontId="17" fillId="0" borderId="151" xfId="27" applyNumberFormat="1" applyFont="1" applyBorder="1" applyAlignment="1">
      <alignment horizontal="center" vertical="center" textRotation="90"/>
    </xf>
    <xf numFmtId="3" fontId="17" fillId="0" borderId="152" xfId="27" applyNumberFormat="1" applyFont="1" applyBorder="1" applyAlignment="1">
      <alignment horizontal="center" vertical="center" textRotation="90"/>
    </xf>
    <xf numFmtId="3" fontId="17" fillId="0" borderId="157" xfId="27" applyNumberFormat="1" applyFont="1" applyBorder="1" applyAlignment="1">
      <alignment horizontal="center" vertical="center" wrapText="1"/>
    </xf>
    <xf numFmtId="3" fontId="17" fillId="0" borderId="158" xfId="27" applyNumberFormat="1" applyFont="1" applyBorder="1" applyAlignment="1">
      <alignment horizontal="center" vertical="center" wrapText="1"/>
    </xf>
    <xf numFmtId="0" fontId="20" fillId="0" borderId="151" xfId="27" applyFont="1" applyBorder="1" applyAlignment="1">
      <alignment horizontal="center" vertical="center" wrapText="1"/>
    </xf>
    <xf numFmtId="0" fontId="20" fillId="0" borderId="152" xfId="27" applyFont="1" applyBorder="1" applyAlignment="1">
      <alignment horizontal="center" vertical="center" wrapText="1"/>
    </xf>
    <xf numFmtId="3" fontId="17" fillId="0" borderId="144" xfId="0" applyNumberFormat="1" applyFont="1" applyBorder="1" applyAlignment="1">
      <alignment horizontal="center" vertical="center" textRotation="90" wrapText="1"/>
    </xf>
    <xf numFmtId="0" fontId="17" fillId="0" borderId="145" xfId="0" applyFont="1" applyBorder="1" applyAlignment="1">
      <alignment horizontal="center" vertical="center" textRotation="90" wrapText="1"/>
    </xf>
    <xf numFmtId="3" fontId="19" fillId="0" borderId="20" xfId="27" applyNumberFormat="1" applyFont="1" applyBorder="1" applyAlignment="1">
      <alignment horizontal="left" vertical="center" wrapText="1"/>
    </xf>
    <xf numFmtId="3" fontId="19" fillId="0" borderId="86" xfId="27" applyNumberFormat="1" applyFont="1" applyBorder="1" applyAlignment="1">
      <alignment horizontal="left" vertical="center" wrapText="1"/>
    </xf>
    <xf numFmtId="3" fontId="10" fillId="0" borderId="0" xfId="27" applyNumberFormat="1" applyFont="1" applyAlignment="1">
      <alignment horizontal="left"/>
    </xf>
    <xf numFmtId="3" fontId="10" fillId="0" borderId="0" xfId="27" applyNumberFormat="1" applyFont="1" applyAlignment="1">
      <alignment horizontal="right"/>
    </xf>
    <xf numFmtId="3" fontId="12" fillId="0" borderId="0" xfId="27" applyNumberFormat="1" applyFont="1" applyAlignment="1">
      <alignment horizontal="center"/>
    </xf>
    <xf numFmtId="3" fontId="12" fillId="0" borderId="0" xfId="27" applyNumberFormat="1" applyFont="1" applyAlignment="1">
      <alignment horizontal="center" vertical="center"/>
    </xf>
    <xf numFmtId="3" fontId="17" fillId="0" borderId="163" xfId="31" applyNumberFormat="1" applyFont="1" applyBorder="1" applyAlignment="1">
      <alignment horizontal="center" vertical="center" wrapText="1"/>
    </xf>
    <xf numFmtId="3" fontId="17" fillId="0" borderId="164" xfId="31" applyNumberFormat="1" applyFont="1" applyBorder="1" applyAlignment="1">
      <alignment horizontal="center" vertical="center" wrapText="1"/>
    </xf>
    <xf numFmtId="3" fontId="17" fillId="0" borderId="39" xfId="31" applyNumberFormat="1" applyFont="1" applyBorder="1" applyAlignment="1">
      <alignment horizontal="center" vertical="center" wrapText="1"/>
    </xf>
    <xf numFmtId="3" fontId="19" fillId="0" borderId="107" xfId="0" applyNumberFormat="1" applyFont="1" applyBorder="1" applyAlignment="1">
      <alignment horizontal="left" wrapText="1"/>
    </xf>
    <xf numFmtId="3" fontId="19" fillId="0" borderId="140" xfId="0" applyNumberFormat="1" applyFont="1" applyBorder="1" applyAlignment="1">
      <alignment horizontal="left" wrapText="1"/>
    </xf>
    <xf numFmtId="3" fontId="19" fillId="0" borderId="159" xfId="0" applyNumberFormat="1" applyFont="1" applyBorder="1" applyAlignment="1">
      <alignment horizontal="left" wrapText="1"/>
    </xf>
    <xf numFmtId="3" fontId="20" fillId="0" borderId="140" xfId="28" applyNumberFormat="1" applyFont="1" applyBorder="1" applyAlignment="1">
      <alignment horizontal="center" vertical="center" wrapText="1"/>
    </xf>
    <xf numFmtId="3" fontId="20" fillId="0" borderId="159" xfId="28" applyNumberFormat="1" applyFont="1" applyBorder="1" applyAlignment="1">
      <alignment horizontal="center" vertical="center" wrapText="1"/>
    </xf>
    <xf numFmtId="0" fontId="10" fillId="0" borderId="0" xfId="32" applyFont="1" applyAlignment="1">
      <alignment horizontal="left" vertical="center"/>
    </xf>
    <xf numFmtId="3" fontId="10" fillId="0" borderId="0" xfId="31" applyNumberFormat="1" applyFont="1" applyAlignment="1">
      <alignment horizontal="right" vertical="center"/>
    </xf>
    <xf numFmtId="0" fontId="12" fillId="0" borderId="0" xfId="31" applyFont="1" applyAlignment="1">
      <alignment horizontal="center"/>
    </xf>
    <xf numFmtId="0" fontId="12" fillId="0" borderId="0" xfId="32" applyFont="1" applyAlignment="1">
      <alignment horizontal="center" vertical="center"/>
    </xf>
    <xf numFmtId="3" fontId="20" fillId="0" borderId="144" xfId="31" applyNumberFormat="1" applyFont="1" applyBorder="1" applyAlignment="1">
      <alignment horizontal="center" vertical="center" wrapText="1"/>
    </xf>
    <xf numFmtId="3" fontId="20" fillId="0" borderId="139" xfId="31" applyNumberFormat="1" applyFont="1" applyBorder="1" applyAlignment="1">
      <alignment horizontal="center" vertical="center" wrapText="1"/>
    </xf>
    <xf numFmtId="3" fontId="20" fillId="0" borderId="146" xfId="31" applyNumberFormat="1" applyFont="1" applyBorder="1" applyAlignment="1">
      <alignment horizontal="center" vertical="center" wrapText="1"/>
    </xf>
    <xf numFmtId="3" fontId="17" fillId="0" borderId="165" xfId="31" applyNumberFormat="1" applyFont="1" applyBorder="1" applyAlignment="1">
      <alignment horizontal="center" vertical="center" wrapText="1"/>
    </xf>
    <xf numFmtId="3" fontId="17" fillId="0" borderId="166" xfId="31" applyNumberFormat="1" applyFont="1" applyBorder="1" applyAlignment="1">
      <alignment horizontal="center" vertical="center" wrapText="1"/>
    </xf>
    <xf numFmtId="3" fontId="17" fillId="0" borderId="167" xfId="31" applyNumberFormat="1" applyFont="1" applyBorder="1" applyAlignment="1">
      <alignment horizontal="center" vertical="center" wrapText="1"/>
    </xf>
    <xf numFmtId="3" fontId="17" fillId="0" borderId="168" xfId="27" applyNumberFormat="1" applyFont="1" applyBorder="1" applyAlignment="1">
      <alignment horizontal="center" vertical="center" textRotation="90"/>
    </xf>
    <xf numFmtId="3" fontId="17" fillId="0" borderId="169" xfId="27" applyNumberFormat="1" applyFont="1" applyBorder="1" applyAlignment="1">
      <alignment horizontal="center" vertical="center" textRotation="90"/>
    </xf>
    <xf numFmtId="3" fontId="17" fillId="0" borderId="170" xfId="27" applyNumberFormat="1" applyFont="1" applyBorder="1" applyAlignment="1">
      <alignment horizontal="center" vertical="center" textRotation="90"/>
    </xf>
    <xf numFmtId="3" fontId="17" fillId="0" borderId="163" xfId="27" applyNumberFormat="1" applyFont="1" applyBorder="1" applyAlignment="1">
      <alignment horizontal="center" vertical="center" textRotation="90"/>
    </xf>
    <xf numFmtId="3" fontId="17" fillId="0" borderId="164" xfId="27" applyNumberFormat="1" applyFont="1" applyBorder="1" applyAlignment="1">
      <alignment horizontal="center" vertical="center" textRotation="90"/>
    </xf>
    <xf numFmtId="3" fontId="17" fillId="0" borderId="39" xfId="27" applyNumberFormat="1" applyFont="1" applyBorder="1" applyAlignment="1">
      <alignment horizontal="center" vertical="center" textRotation="90"/>
    </xf>
    <xf numFmtId="0" fontId="20" fillId="0" borderId="139" xfId="31" applyFont="1" applyBorder="1" applyAlignment="1">
      <alignment horizontal="center" vertical="center" wrapText="1"/>
    </xf>
    <xf numFmtId="0" fontId="20" fillId="0" borderId="171" xfId="31" applyFont="1" applyBorder="1" applyAlignment="1">
      <alignment horizontal="center" vertical="center" wrapText="1"/>
    </xf>
    <xf numFmtId="0" fontId="20" fillId="0" borderId="132" xfId="31" applyFont="1" applyBorder="1" applyAlignment="1">
      <alignment horizontal="center" vertical="center" wrapText="1"/>
    </xf>
    <xf numFmtId="3" fontId="17" fillId="0" borderId="125" xfId="31" applyNumberFormat="1" applyFont="1" applyBorder="1" applyAlignment="1">
      <alignment horizontal="center" vertical="center" wrapText="1"/>
    </xf>
    <xf numFmtId="3" fontId="20" fillId="0" borderId="172" xfId="31" applyNumberFormat="1" applyFont="1" applyBorder="1" applyAlignment="1">
      <alignment horizontal="center" vertical="center" wrapText="1"/>
    </xf>
    <xf numFmtId="3" fontId="20" fillId="0" borderId="173" xfId="31" applyNumberFormat="1" applyFont="1" applyBorder="1" applyAlignment="1">
      <alignment horizontal="center" vertical="center" wrapText="1"/>
    </xf>
    <xf numFmtId="0" fontId="17" fillId="0" borderId="174" xfId="31" applyFont="1" applyBorder="1" applyAlignment="1">
      <alignment horizontal="center" vertical="center" textRotation="90" wrapText="1"/>
    </xf>
    <xf numFmtId="0" fontId="17" fillId="0" borderId="175" xfId="31" applyFont="1" applyBorder="1" applyAlignment="1">
      <alignment horizontal="center" vertical="center" textRotation="90" wrapText="1"/>
    </xf>
    <xf numFmtId="0" fontId="17" fillId="0" borderId="40" xfId="31" applyFont="1" applyBorder="1" applyAlignment="1">
      <alignment horizontal="center" vertical="center" textRotation="90" wrapText="1"/>
    </xf>
    <xf numFmtId="3" fontId="17" fillId="0" borderId="57" xfId="31" applyNumberFormat="1" applyFont="1" applyBorder="1" applyAlignment="1">
      <alignment horizontal="center" vertical="center" wrapText="1"/>
    </xf>
    <xf numFmtId="3" fontId="17" fillId="0" borderId="61" xfId="31" applyNumberFormat="1" applyFont="1" applyBorder="1" applyAlignment="1">
      <alignment horizontal="center" vertical="center" wrapText="1"/>
    </xf>
    <xf numFmtId="3" fontId="17" fillId="0" borderId="162" xfId="31" applyNumberFormat="1" applyFont="1" applyBorder="1" applyAlignment="1">
      <alignment horizontal="center" vertical="center" wrapText="1"/>
    </xf>
    <xf numFmtId="3" fontId="19" fillId="0" borderId="22" xfId="0" applyNumberFormat="1" applyFont="1" applyBorder="1" applyAlignment="1">
      <alignment horizontal="left" wrapText="1"/>
    </xf>
    <xf numFmtId="3" fontId="19" fillId="0" borderId="104" xfId="0" applyNumberFormat="1" applyFont="1" applyBorder="1" applyAlignment="1">
      <alignment horizontal="left" wrapText="1"/>
    </xf>
    <xf numFmtId="3" fontId="19" fillId="0" borderId="189" xfId="0" applyNumberFormat="1" applyFont="1" applyBorder="1" applyAlignment="1">
      <alignment horizontal="left" wrapText="1"/>
    </xf>
    <xf numFmtId="3" fontId="10" fillId="0" borderId="0" xfId="31" applyNumberFormat="1" applyFont="1" applyAlignment="1">
      <alignment horizontal="right"/>
    </xf>
    <xf numFmtId="3" fontId="20" fillId="0" borderId="81" xfId="31" applyNumberFormat="1" applyFont="1" applyBorder="1" applyAlignment="1">
      <alignment horizontal="center" vertical="center" wrapText="1"/>
    </xf>
    <xf numFmtId="3" fontId="20" fillId="0" borderId="176" xfId="31" applyNumberFormat="1" applyFont="1" applyBorder="1" applyAlignment="1">
      <alignment horizontal="center" vertical="center" wrapText="1"/>
    </xf>
    <xf numFmtId="3" fontId="12" fillId="0" borderId="192" xfId="28" applyNumberFormat="1" applyFont="1" applyBorder="1" applyAlignment="1">
      <alignment horizontal="center" vertical="center" wrapText="1"/>
    </xf>
    <xf numFmtId="3" fontId="12" fillId="0" borderId="104" xfId="28" applyNumberFormat="1" applyFont="1" applyBorder="1" applyAlignment="1">
      <alignment horizontal="center" vertical="center" wrapText="1"/>
    </xf>
    <xf numFmtId="3" fontId="12" fillId="0" borderId="189" xfId="28" applyNumberFormat="1" applyFont="1" applyBorder="1" applyAlignment="1">
      <alignment horizontal="center" vertical="center" wrapText="1"/>
    </xf>
    <xf numFmtId="3" fontId="10" fillId="0" borderId="163" xfId="27" applyNumberFormat="1" applyFont="1" applyBorder="1" applyAlignment="1">
      <alignment horizontal="center" vertical="center" textRotation="90"/>
    </xf>
    <xf numFmtId="3" fontId="10" fillId="0" borderId="164" xfId="27" applyNumberFormat="1" applyFont="1" applyBorder="1" applyAlignment="1">
      <alignment horizontal="center" vertical="center" textRotation="90"/>
    </xf>
    <xf numFmtId="3" fontId="10" fillId="0" borderId="39" xfId="27" applyNumberFormat="1" applyFont="1" applyBorder="1" applyAlignment="1">
      <alignment horizontal="center" vertical="center" textRotation="90"/>
    </xf>
    <xf numFmtId="3" fontId="10" fillId="0" borderId="255" xfId="31" applyNumberFormat="1" applyFont="1" applyBorder="1" applyAlignment="1">
      <alignment horizontal="center" vertical="center" wrapText="1"/>
    </xf>
    <xf numFmtId="3" fontId="10" fillId="0" borderId="234" xfId="31" applyNumberFormat="1" applyFont="1" applyBorder="1" applyAlignment="1">
      <alignment horizontal="center" vertical="center" wrapText="1"/>
    </xf>
    <xf numFmtId="3" fontId="10" fillId="0" borderId="256" xfId="31" applyNumberFormat="1" applyFont="1" applyBorder="1" applyAlignment="1">
      <alignment horizontal="center" vertical="center" wrapText="1"/>
    </xf>
    <xf numFmtId="0" fontId="10" fillId="0" borderId="0" xfId="31" applyFont="1" applyAlignment="1">
      <alignment horizontal="center"/>
    </xf>
    <xf numFmtId="3" fontId="10" fillId="0" borderId="168" xfId="27" applyNumberFormat="1" applyFont="1" applyBorder="1" applyAlignment="1">
      <alignment horizontal="center" vertical="center" textRotation="90"/>
    </xf>
    <xf numFmtId="3" fontId="10" fillId="0" borderId="169" xfId="27" applyNumberFormat="1" applyFont="1" applyBorder="1" applyAlignment="1">
      <alignment horizontal="center" vertical="center" textRotation="90"/>
    </xf>
    <xf numFmtId="3" fontId="10" fillId="0" borderId="170" xfId="27" applyNumberFormat="1" applyFont="1" applyBorder="1" applyAlignment="1">
      <alignment horizontal="center" vertical="center" textRotation="90"/>
    </xf>
    <xf numFmtId="3" fontId="10" fillId="0" borderId="163" xfId="31" applyNumberFormat="1" applyFont="1" applyBorder="1" applyAlignment="1">
      <alignment horizontal="center" vertical="center" wrapText="1"/>
    </xf>
    <xf numFmtId="3" fontId="10" fillId="0" borderId="164" xfId="31" applyNumberFormat="1" applyFont="1" applyBorder="1" applyAlignment="1">
      <alignment horizontal="center" vertical="center" wrapText="1"/>
    </xf>
    <xf numFmtId="3" fontId="10" fillId="0" borderId="39" xfId="31" applyNumberFormat="1" applyFont="1" applyBorder="1" applyAlignment="1">
      <alignment horizontal="center" vertical="center" wrapText="1"/>
    </xf>
    <xf numFmtId="0" fontId="12" fillId="0" borderId="0" xfId="32" applyFont="1" applyAlignment="1">
      <alignment horizontal="center"/>
    </xf>
    <xf numFmtId="0" fontId="10" fillId="0" borderId="139" xfId="31" applyFont="1" applyBorder="1" applyAlignment="1">
      <alignment horizontal="center" vertical="center"/>
    </xf>
    <xf numFmtId="0" fontId="10" fillId="0" borderId="171" xfId="31" applyFont="1" applyBorder="1" applyAlignment="1">
      <alignment horizontal="center" vertical="center"/>
    </xf>
    <xf numFmtId="0" fontId="10" fillId="0" borderId="132" xfId="31" applyFont="1" applyBorder="1" applyAlignment="1">
      <alignment horizontal="center" vertical="center"/>
    </xf>
    <xf numFmtId="3" fontId="10" fillId="0" borderId="57" xfId="31" applyNumberFormat="1" applyFont="1" applyBorder="1" applyAlignment="1">
      <alignment horizontal="center" vertical="center" wrapText="1"/>
    </xf>
    <xf numFmtId="3" fontId="10" fillId="0" borderId="61" xfId="31" applyNumberFormat="1" applyFont="1" applyBorder="1" applyAlignment="1">
      <alignment horizontal="center" vertical="center" wrapText="1"/>
    </xf>
    <xf numFmtId="3" fontId="10" fillId="0" borderId="162" xfId="31" applyNumberFormat="1" applyFont="1" applyBorder="1" applyAlignment="1">
      <alignment horizontal="center" vertical="center" wrapText="1"/>
    </xf>
    <xf numFmtId="3" fontId="10" fillId="0" borderId="56" xfId="31" applyNumberFormat="1" applyFont="1" applyBorder="1" applyAlignment="1">
      <alignment horizontal="center" vertical="center" wrapText="1"/>
    </xf>
    <xf numFmtId="3" fontId="10" fillId="0" borderId="177" xfId="31" applyNumberFormat="1" applyFont="1" applyBorder="1" applyAlignment="1">
      <alignment horizontal="center" vertical="center" wrapText="1"/>
    </xf>
    <xf numFmtId="3" fontId="10" fillId="0" borderId="165" xfId="31" applyNumberFormat="1" applyFont="1" applyBorder="1" applyAlignment="1">
      <alignment horizontal="center" vertical="center" wrapText="1"/>
    </xf>
    <xf numFmtId="3" fontId="10" fillId="0" borderId="166" xfId="31" applyNumberFormat="1" applyFont="1" applyBorder="1" applyAlignment="1">
      <alignment horizontal="center" vertical="center" wrapText="1"/>
    </xf>
    <xf numFmtId="3" fontId="10" fillId="0" borderId="167" xfId="31" applyNumberFormat="1" applyFont="1" applyBorder="1" applyAlignment="1">
      <alignment horizontal="center" vertical="center" wrapText="1"/>
    </xf>
    <xf numFmtId="3" fontId="10" fillId="0" borderId="178" xfId="31" applyNumberFormat="1" applyFont="1" applyBorder="1" applyAlignment="1">
      <alignment horizontal="center" vertical="center" wrapText="1"/>
    </xf>
    <xf numFmtId="3" fontId="10" fillId="0" borderId="179" xfId="31" applyNumberFormat="1" applyFont="1" applyBorder="1" applyAlignment="1">
      <alignment horizontal="center" vertical="center" wrapText="1"/>
    </xf>
    <xf numFmtId="3" fontId="10" fillId="0" borderId="180" xfId="31" applyNumberFormat="1" applyFont="1" applyBorder="1" applyAlignment="1">
      <alignment horizontal="center" vertical="center" wrapText="1"/>
    </xf>
    <xf numFmtId="3" fontId="12" fillId="0" borderId="88" xfId="31" applyNumberFormat="1" applyFont="1" applyBorder="1" applyAlignment="1">
      <alignment horizontal="center" vertical="center" wrapText="1"/>
    </xf>
    <xf numFmtId="3" fontId="12" fillId="0" borderId="173" xfId="31" applyNumberFormat="1" applyFont="1" applyBorder="1" applyAlignment="1">
      <alignment horizontal="center" vertical="center" wrapText="1"/>
    </xf>
    <xf numFmtId="0" fontId="10" fillId="0" borderId="0" xfId="0" applyFont="1" applyAlignment="1">
      <alignment horizontal="left" vertical="center"/>
    </xf>
    <xf numFmtId="0" fontId="17" fillId="0" borderId="0" xfId="0" applyFont="1" applyAlignment="1">
      <alignment horizontal="left"/>
    </xf>
    <xf numFmtId="0" fontId="17" fillId="0" borderId="0" xfId="0" applyFont="1" applyAlignment="1">
      <alignment horizontal="left" vertical="center"/>
    </xf>
    <xf numFmtId="3" fontId="19" fillId="0" borderId="0" xfId="29" applyNumberFormat="1" applyFont="1" applyAlignment="1">
      <alignment horizontal="right"/>
    </xf>
    <xf numFmtId="3" fontId="12" fillId="0" borderId="11" xfId="29" applyNumberFormat="1" applyFont="1" applyBorder="1" applyAlignment="1">
      <alignment horizontal="center" vertical="center"/>
    </xf>
    <xf numFmtId="3" fontId="10" fillId="0" borderId="0" xfId="29" applyNumberFormat="1" applyFont="1" applyAlignment="1">
      <alignment horizontal="left" wrapText="1"/>
    </xf>
    <xf numFmtId="3" fontId="10" fillId="0" borderId="188" xfId="29" applyNumberFormat="1" applyFont="1" applyBorder="1" applyAlignment="1">
      <alignment horizontal="center" vertical="center" wrapText="1"/>
    </xf>
    <xf numFmtId="3" fontId="10" fillId="0" borderId="81" xfId="29" applyNumberFormat="1" applyFont="1" applyBorder="1" applyAlignment="1">
      <alignment horizontal="center" vertical="center" wrapText="1"/>
    </xf>
    <xf numFmtId="3" fontId="10" fillId="0" borderId="144" xfId="29" applyNumberFormat="1" applyFont="1" applyBorder="1" applyAlignment="1">
      <alignment horizontal="center" vertical="center" wrapText="1"/>
    </xf>
    <xf numFmtId="3" fontId="10" fillId="0" borderId="73" xfId="29" applyNumberFormat="1" applyFont="1" applyBorder="1" applyAlignment="1">
      <alignment horizontal="center" vertical="center" wrapText="1"/>
    </xf>
    <xf numFmtId="3" fontId="10" fillId="0" borderId="9" xfId="29" applyNumberFormat="1" applyFont="1" applyBorder="1" applyAlignment="1">
      <alignment horizontal="center" vertical="center" wrapText="1"/>
    </xf>
    <xf numFmtId="3" fontId="10" fillId="0" borderId="248" xfId="29" applyNumberFormat="1" applyFont="1" applyBorder="1" applyAlignment="1">
      <alignment horizontal="center" vertical="center" wrapText="1"/>
    </xf>
    <xf numFmtId="3" fontId="10" fillId="0" borderId="233" xfId="29" applyNumberFormat="1" applyFont="1" applyBorder="1" applyAlignment="1">
      <alignment horizontal="center" vertical="center" wrapText="1"/>
    </xf>
    <xf numFmtId="3" fontId="10" fillId="0" borderId="245" xfId="29" applyNumberFormat="1" applyFont="1" applyBorder="1" applyAlignment="1">
      <alignment horizontal="center" vertical="center" wrapText="1"/>
    </xf>
    <xf numFmtId="3" fontId="10" fillId="0" borderId="39" xfId="29" applyNumberFormat="1" applyFont="1" applyBorder="1" applyAlignment="1">
      <alignment horizontal="center" vertical="center" wrapText="1"/>
    </xf>
    <xf numFmtId="0" fontId="10" fillId="0" borderId="8" xfId="29" applyFont="1" applyBorder="1" applyAlignment="1">
      <alignment horizontal="center" vertical="center" wrapText="1"/>
    </xf>
    <xf numFmtId="0" fontId="10" fillId="0" borderId="246" xfId="29" applyFont="1" applyBorder="1" applyAlignment="1">
      <alignment horizontal="center" vertical="center" wrapText="1"/>
    </xf>
    <xf numFmtId="3" fontId="10" fillId="0" borderId="247" xfId="29" applyNumberFormat="1" applyFont="1" applyBorder="1" applyAlignment="1">
      <alignment horizontal="center" vertical="center" wrapText="1"/>
    </xf>
    <xf numFmtId="3" fontId="10" fillId="0" borderId="46" xfId="29" applyNumberFormat="1" applyFont="1" applyBorder="1" applyAlignment="1">
      <alignment horizontal="center" vertical="center" textRotation="90" wrapText="1"/>
    </xf>
    <xf numFmtId="3" fontId="10" fillId="0" borderId="31" xfId="29" applyNumberFormat="1" applyFont="1" applyBorder="1" applyAlignment="1">
      <alignment horizontal="center" vertical="center" textRotation="90" wrapText="1"/>
    </xf>
    <xf numFmtId="3" fontId="10" fillId="0" borderId="241" xfId="29" applyNumberFormat="1" applyFont="1" applyBorder="1" applyAlignment="1">
      <alignment horizontal="center" vertical="center" wrapText="1"/>
    </xf>
    <xf numFmtId="14" fontId="10" fillId="0" borderId="47" xfId="29" applyNumberFormat="1" applyFont="1" applyBorder="1" applyAlignment="1">
      <alignment horizontal="center" vertical="center" wrapText="1"/>
    </xf>
    <xf numFmtId="3" fontId="10" fillId="0" borderId="243" xfId="29" applyNumberFormat="1" applyFont="1" applyBorder="1" applyAlignment="1">
      <alignment horizontal="center" vertical="center" wrapText="1"/>
    </xf>
    <xf numFmtId="0" fontId="10" fillId="0" borderId="0" xfId="0" applyFont="1" applyAlignment="1">
      <alignment horizontal="left" vertical="top"/>
    </xf>
    <xf numFmtId="3" fontId="12" fillId="0" borderId="0" xfId="29" applyNumberFormat="1" applyFont="1" applyAlignment="1">
      <alignment horizontal="center"/>
    </xf>
    <xf numFmtId="0" fontId="10" fillId="0" borderId="0" xfId="0" applyFont="1" applyAlignment="1">
      <alignment horizontal="left" wrapText="1"/>
    </xf>
    <xf numFmtId="0" fontId="17" fillId="0" borderId="0" xfId="0" applyFont="1" applyAlignment="1">
      <alignment horizontal="left" vertical="center" wrapText="1"/>
    </xf>
    <xf numFmtId="0" fontId="12" fillId="0" borderId="0" xfId="0" applyFont="1" applyAlignment="1">
      <alignment horizontal="center"/>
    </xf>
    <xf numFmtId="0" fontId="10" fillId="0" borderId="0" xfId="0" applyFont="1" applyAlignment="1">
      <alignment horizontal="center" vertical="center" wrapText="1"/>
    </xf>
    <xf numFmtId="0" fontId="12" fillId="0" borderId="83" xfId="0" applyFont="1" applyBorder="1" applyAlignment="1">
      <alignment horizontal="center"/>
    </xf>
    <xf numFmtId="0" fontId="12" fillId="0" borderId="81" xfId="0" applyFont="1" applyBorder="1" applyAlignment="1">
      <alignment horizontal="center"/>
    </xf>
    <xf numFmtId="0" fontId="12" fillId="0" borderId="84" xfId="0" applyFont="1" applyBorder="1" applyAlignment="1">
      <alignment horizontal="center"/>
    </xf>
  </cellXfs>
  <cellStyles count="56">
    <cellStyle name="Ezres 2" xfId="1" xr:uid="{00000000-0005-0000-0000-000000000000}"/>
    <cellStyle name="Ezres 3" xfId="2" xr:uid="{00000000-0005-0000-0000-000001000000}"/>
    <cellStyle name="Ezres 4" xfId="3" xr:uid="{00000000-0005-0000-0000-000002000000}"/>
    <cellStyle name="Ezres 4 2" xfId="4" xr:uid="{00000000-0005-0000-0000-000003000000}"/>
    <cellStyle name="Ezres 4 3" xfId="5" xr:uid="{00000000-0005-0000-0000-000004000000}"/>
    <cellStyle name="Ezres 4 4" xfId="44" xr:uid="{00000000-0005-0000-0000-000005000000}"/>
    <cellStyle name="Ezres 4 4 2" xfId="52" xr:uid="{00000000-0005-0000-0000-000006000000}"/>
    <cellStyle name="Ezres 4 4 3" xfId="53" xr:uid="{00000000-0005-0000-0000-000007000000}"/>
    <cellStyle name="Ezres 5" xfId="6" xr:uid="{00000000-0005-0000-0000-000008000000}"/>
    <cellStyle name="Normál" xfId="0" builtinId="0"/>
    <cellStyle name="Normál 10" xfId="7" xr:uid="{00000000-0005-0000-0000-00000A000000}"/>
    <cellStyle name="Normál 10 2" xfId="37" xr:uid="{00000000-0005-0000-0000-00000B000000}"/>
    <cellStyle name="Normál 10 3" xfId="49" xr:uid="{00000000-0005-0000-0000-00000C000000}"/>
    <cellStyle name="Normál 11" xfId="38" xr:uid="{00000000-0005-0000-0000-00000D000000}"/>
    <cellStyle name="Normál 11 2" xfId="39" xr:uid="{00000000-0005-0000-0000-00000E000000}"/>
    <cellStyle name="Normál 12" xfId="40" xr:uid="{00000000-0005-0000-0000-00000F000000}"/>
    <cellStyle name="Normál 13" xfId="45" xr:uid="{00000000-0005-0000-0000-000010000000}"/>
    <cellStyle name="Normál 14" xfId="48" xr:uid="{00000000-0005-0000-0000-000011000000}"/>
    <cellStyle name="Normál 14 2" xfId="51" xr:uid="{00000000-0005-0000-0000-000012000000}"/>
    <cellStyle name="Normál 14 2 2" xfId="54" xr:uid="{00000000-0005-0000-0000-000013000000}"/>
    <cellStyle name="Normál 15" xfId="50" xr:uid="{00000000-0005-0000-0000-000014000000}"/>
    <cellStyle name="Normál 2" xfId="8" xr:uid="{00000000-0005-0000-0000-000015000000}"/>
    <cellStyle name="Normál 3" xfId="9" xr:uid="{00000000-0005-0000-0000-000016000000}"/>
    <cellStyle name="Normál 4" xfId="10" xr:uid="{00000000-0005-0000-0000-000017000000}"/>
    <cellStyle name="Normál 5" xfId="11" xr:uid="{00000000-0005-0000-0000-000018000000}"/>
    <cellStyle name="Normál 6" xfId="12" xr:uid="{00000000-0005-0000-0000-000019000000}"/>
    <cellStyle name="Normál 6 2" xfId="13" xr:uid="{00000000-0005-0000-0000-00001A000000}"/>
    <cellStyle name="Normál 6 3" xfId="14" xr:uid="{00000000-0005-0000-0000-00001B000000}"/>
    <cellStyle name="Normál 6 3 2" xfId="15" xr:uid="{00000000-0005-0000-0000-00001C000000}"/>
    <cellStyle name="Normál 6 3 2 2" xfId="16" xr:uid="{00000000-0005-0000-0000-00001D000000}"/>
    <cellStyle name="Normál 6 3 2 3" xfId="17" xr:uid="{00000000-0005-0000-0000-00001E000000}"/>
    <cellStyle name="Normál 6 3 2 3 2" xfId="41" xr:uid="{00000000-0005-0000-0000-00001F000000}"/>
    <cellStyle name="Normál 6 3 2 3 3" xfId="47" xr:uid="{00000000-0005-0000-0000-000020000000}"/>
    <cellStyle name="Normál 6 3 2 4" xfId="42" xr:uid="{00000000-0005-0000-0000-000021000000}"/>
    <cellStyle name="Normál 6 3 2 5" xfId="43" xr:uid="{00000000-0005-0000-0000-000022000000}"/>
    <cellStyle name="Normál 7" xfId="18" xr:uid="{00000000-0005-0000-0000-000023000000}"/>
    <cellStyle name="Normál 8" xfId="19" xr:uid="{00000000-0005-0000-0000-000024000000}"/>
    <cellStyle name="Normál 8 2" xfId="20" xr:uid="{00000000-0005-0000-0000-000025000000}"/>
    <cellStyle name="Normál 8 2 2" xfId="21" xr:uid="{00000000-0005-0000-0000-000026000000}"/>
    <cellStyle name="Normál 8 2 3" xfId="22" xr:uid="{00000000-0005-0000-0000-000027000000}"/>
    <cellStyle name="Normál 8 3" xfId="46" xr:uid="{00000000-0005-0000-0000-000028000000}"/>
    <cellStyle name="Normál 9" xfId="23" xr:uid="{00000000-0005-0000-0000-000029000000}"/>
    <cellStyle name="Normál 9 2" xfId="24" xr:uid="{00000000-0005-0000-0000-00002A000000}"/>
    <cellStyle name="Normál 9 3" xfId="25" xr:uid="{00000000-0005-0000-0000-00002B000000}"/>
    <cellStyle name="Normál_2007.évi konc. összefoglaló bevétel" xfId="26" xr:uid="{00000000-0005-0000-0000-00002C000000}"/>
    <cellStyle name="Normál_2007.évi konc. összefoglaló bevétel 2" xfId="27" xr:uid="{00000000-0005-0000-0000-00002D000000}"/>
    <cellStyle name="Normál_Beruházási tábla 2007" xfId="28" xr:uid="{00000000-0005-0000-0000-00002E000000}"/>
    <cellStyle name="Normál_EU-s tábla kv-hez_EU projektek tábla" xfId="29" xr:uid="{00000000-0005-0000-0000-00002F000000}"/>
    <cellStyle name="Normál_Intézményi bevétel-kiadás" xfId="30" xr:uid="{00000000-0005-0000-0000-000030000000}"/>
    <cellStyle name="Normál_Városfejlesztési Iroda - 2008. kv. tervezés" xfId="31" xr:uid="{00000000-0005-0000-0000-000031000000}"/>
    <cellStyle name="Normál_Városfejlesztési Iroda - 2008. kv. tervezés_2014.évi eredeti előirányzat 2" xfId="32" xr:uid="{00000000-0005-0000-0000-000032000000}"/>
    <cellStyle name="Normál_Városfejlesztési Iroda - 2008. kv. tervezés_Koltsegvetes_modositas_aprilis_tablazatai" xfId="55" xr:uid="{00000000-0005-0000-0000-000033000000}"/>
    <cellStyle name="Százalék" xfId="33" builtinId="5"/>
    <cellStyle name="Százalék 2" xfId="34" xr:uid="{00000000-0005-0000-0000-000035000000}"/>
    <cellStyle name="Százalék 3" xfId="35" xr:uid="{00000000-0005-0000-0000-000036000000}"/>
    <cellStyle name="Százalék 3 2" xfId="36" xr:uid="{00000000-0005-0000-0000-000037000000}"/>
  </cellStyles>
  <dxfs count="0"/>
  <tableStyles count="0" defaultTableStyle="TableStyleMedium2" defaultPivotStyle="PivotStyleLight16"/>
  <colors>
    <mruColors>
      <color rgb="FF080808"/>
      <color rgb="FF800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L76"/>
  <sheetViews>
    <sheetView view="pageBreakPreview" topLeftCell="F66" zoomScaleNormal="100" zoomScaleSheetLayoutView="100" workbookViewId="0">
      <selection activeCell="A6" sqref="A6:L75"/>
    </sheetView>
  </sheetViews>
  <sheetFormatPr defaultColWidth="9.28515625" defaultRowHeight="16.5" x14ac:dyDescent="0.3"/>
  <cols>
    <col min="1" max="1" width="3.7109375" style="53" customWidth="1"/>
    <col min="2" max="4" width="5.7109375" style="63" customWidth="1"/>
    <col min="5" max="5" width="59.7109375" style="19" customWidth="1"/>
    <col min="6" max="8" width="13.7109375" style="2" customWidth="1"/>
    <col min="9" max="11" width="15.7109375" style="90" customWidth="1"/>
    <col min="12" max="12" width="15.7109375" style="19" customWidth="1"/>
    <col min="13" max="16384" width="9.28515625" style="19"/>
  </cols>
  <sheetData>
    <row r="1" spans="1:12" x14ac:dyDescent="0.3">
      <c r="B1" s="1839" t="s">
        <v>864</v>
      </c>
      <c r="C1" s="1839"/>
      <c r="D1" s="1839"/>
      <c r="E1" s="1839"/>
      <c r="F1" s="1839"/>
      <c r="G1" s="1839"/>
      <c r="H1" s="1839"/>
      <c r="I1" s="1839"/>
      <c r="J1" s="1839"/>
      <c r="K1" s="1839"/>
    </row>
    <row r="2" spans="1:12" x14ac:dyDescent="0.3">
      <c r="B2" s="1839" t="s">
        <v>793</v>
      </c>
      <c r="C2" s="1839"/>
      <c r="D2" s="1839"/>
      <c r="E2" s="1839"/>
      <c r="F2" s="19"/>
      <c r="G2" s="19"/>
      <c r="H2" s="19"/>
      <c r="I2" s="89"/>
      <c r="J2" s="89"/>
    </row>
    <row r="3" spans="1:12" x14ac:dyDescent="0.3">
      <c r="B3" s="566"/>
      <c r="C3" s="566"/>
      <c r="D3" s="566"/>
      <c r="E3" s="566"/>
      <c r="F3" s="19"/>
      <c r="G3" s="19"/>
      <c r="H3" s="19"/>
      <c r="I3" s="89"/>
      <c r="J3" s="89"/>
    </row>
    <row r="4" spans="1:12" s="1" customFormat="1" ht="25.15" customHeight="1" x14ac:dyDescent="0.3">
      <c r="A4" s="53"/>
      <c r="B4" s="1840" t="s">
        <v>133</v>
      </c>
      <c r="C4" s="1840"/>
      <c r="D4" s="1840"/>
      <c r="E4" s="1840"/>
      <c r="F4" s="1840"/>
      <c r="G4" s="1840"/>
      <c r="H4" s="1840"/>
      <c r="I4" s="1840"/>
      <c r="J4" s="1840"/>
      <c r="K4" s="1840"/>
      <c r="L4" s="1840"/>
    </row>
    <row r="5" spans="1:12" s="1" customFormat="1" ht="25.15" customHeight="1" x14ac:dyDescent="0.3">
      <c r="A5" s="53"/>
      <c r="B5" s="1840" t="s">
        <v>581</v>
      </c>
      <c r="C5" s="1840"/>
      <c r="D5" s="1840"/>
      <c r="E5" s="1840"/>
      <c r="F5" s="1840"/>
      <c r="G5" s="1840"/>
      <c r="H5" s="1840"/>
      <c r="I5" s="1840"/>
      <c r="J5" s="1840"/>
      <c r="K5" s="1840"/>
      <c r="L5" s="1840"/>
    </row>
    <row r="6" spans="1:12" s="199" customFormat="1" ht="15" x14ac:dyDescent="0.3">
      <c r="A6" s="53"/>
      <c r="B6" s="198"/>
      <c r="C6" s="198"/>
      <c r="D6" s="198"/>
      <c r="E6" s="198"/>
      <c r="F6" s="132"/>
      <c r="G6" s="132"/>
      <c r="H6" s="87"/>
      <c r="I6" s="88"/>
      <c r="J6" s="88"/>
      <c r="K6" s="203"/>
      <c r="L6" s="88" t="s">
        <v>0</v>
      </c>
    </row>
    <row r="7" spans="1:12" s="202" customFormat="1" ht="17.25" customHeight="1" thickBot="1" x14ac:dyDescent="0.35">
      <c r="A7" s="53"/>
      <c r="B7" s="200" t="s">
        <v>1</v>
      </c>
      <c r="C7" s="200" t="s">
        <v>3</v>
      </c>
      <c r="D7" s="200" t="s">
        <v>2</v>
      </c>
      <c r="E7" s="200" t="s">
        <v>4</v>
      </c>
      <c r="F7" s="201" t="s">
        <v>5</v>
      </c>
      <c r="G7" s="201" t="s">
        <v>15</v>
      </c>
      <c r="H7" s="201" t="s">
        <v>16</v>
      </c>
      <c r="I7" s="201" t="s">
        <v>17</v>
      </c>
      <c r="J7" s="20" t="s">
        <v>32</v>
      </c>
      <c r="K7" s="279" t="s">
        <v>28</v>
      </c>
      <c r="L7" s="53" t="s">
        <v>23</v>
      </c>
    </row>
    <row r="8" spans="1:12" s="23" customFormat="1" ht="80.099999999999994" customHeight="1" thickBot="1" x14ac:dyDescent="0.35">
      <c r="A8" s="205"/>
      <c r="B8" s="108" t="s">
        <v>18</v>
      </c>
      <c r="C8" s="107" t="s">
        <v>314</v>
      </c>
      <c r="D8" s="107" t="s">
        <v>315</v>
      </c>
      <c r="E8" s="109" t="s">
        <v>6</v>
      </c>
      <c r="F8" s="110" t="s">
        <v>580</v>
      </c>
      <c r="G8" s="91" t="s">
        <v>500</v>
      </c>
      <c r="H8" s="1361" t="s">
        <v>710</v>
      </c>
      <c r="I8" s="931" t="s">
        <v>577</v>
      </c>
      <c r="J8" s="109" t="s">
        <v>806</v>
      </c>
      <c r="K8" s="929" t="s">
        <v>95</v>
      </c>
      <c r="L8" s="930" t="s">
        <v>856</v>
      </c>
    </row>
    <row r="9" spans="1:12" s="70" customFormat="1" ht="36" customHeight="1" x14ac:dyDescent="0.35">
      <c r="A9" s="205">
        <v>1</v>
      </c>
      <c r="B9" s="93"/>
      <c r="C9" s="68">
        <v>1</v>
      </c>
      <c r="D9" s="68"/>
      <c r="E9" s="69" t="s">
        <v>108</v>
      </c>
      <c r="F9" s="111">
        <f>SUM(F10,F23,F35,F41,F44,F22,F40)</f>
        <v>33712776</v>
      </c>
      <c r="G9" s="111">
        <f>SUM(G10,G23,G35,G41,G44,G22,G40)</f>
        <v>26826816</v>
      </c>
      <c r="H9" s="111">
        <f>SUM(H10,H23,H35,H41,H44,H22,H40)</f>
        <v>28369256</v>
      </c>
      <c r="I9" s="932">
        <f>SUM(I10,I23,I35,I41,I44,I22,I40)</f>
        <v>25716683</v>
      </c>
      <c r="J9" s="111">
        <f>SUM(J10,J23,J35,J41,J44,J22,J40)</f>
        <v>25953240</v>
      </c>
      <c r="K9" s="1012">
        <f t="shared" ref="K9" si="0">SUM(K10,K23,K35,K41,K44,K22,K40)</f>
        <v>609791</v>
      </c>
      <c r="L9" s="948">
        <f>SUM(L10,L23,L35,L41,L44,L22,L40)</f>
        <v>26563031</v>
      </c>
    </row>
    <row r="10" spans="1:12" s="70" customFormat="1" ht="36" customHeight="1" x14ac:dyDescent="0.35">
      <c r="A10" s="205">
        <v>2</v>
      </c>
      <c r="B10" s="94">
        <v>18</v>
      </c>
      <c r="C10" s="949"/>
      <c r="D10" s="949">
        <v>1</v>
      </c>
      <c r="E10" s="950" t="s">
        <v>134</v>
      </c>
      <c r="F10" s="946">
        <f t="shared" ref="F10:K10" si="1">SUM(F11,F20:F20)</f>
        <v>7999614</v>
      </c>
      <c r="G10" s="946">
        <f t="shared" si="1"/>
        <v>8407420</v>
      </c>
      <c r="H10" s="946">
        <f t="shared" si="1"/>
        <v>8806897</v>
      </c>
      <c r="I10" s="933">
        <f t="shared" si="1"/>
        <v>8132955</v>
      </c>
      <c r="J10" s="1441">
        <f t="shared" si="1"/>
        <v>8330146</v>
      </c>
      <c r="K10" s="1013">
        <f t="shared" si="1"/>
        <v>475284</v>
      </c>
      <c r="L10" s="951">
        <f t="shared" ref="L10" si="2">SUM(L11,L20:L20)</f>
        <v>8805430</v>
      </c>
    </row>
    <row r="11" spans="1:12" s="64" customFormat="1" ht="17.25" x14ac:dyDescent="0.35">
      <c r="A11" s="205">
        <v>3</v>
      </c>
      <c r="B11" s="48"/>
      <c r="C11" s="63"/>
      <c r="D11" s="63"/>
      <c r="E11" s="952" t="s">
        <v>135</v>
      </c>
      <c r="F11" s="953">
        <f>SUM(F12:F19)</f>
        <v>6825509</v>
      </c>
      <c r="G11" s="953">
        <f>SUM(G12:G19)</f>
        <v>6886393</v>
      </c>
      <c r="H11" s="953">
        <f>SUM(H12:H19)</f>
        <v>7246465</v>
      </c>
      <c r="I11" s="934">
        <f>SUM(I12:I19)</f>
        <v>7246648</v>
      </c>
      <c r="J11" s="1435">
        <f>SUM(J12:J19)</f>
        <v>7425319</v>
      </c>
      <c r="K11" s="947">
        <f t="shared" ref="K11:L11" si="3">SUM(K12:K19)</f>
        <v>112985</v>
      </c>
      <c r="L11" s="954">
        <f t="shared" si="3"/>
        <v>7538304</v>
      </c>
    </row>
    <row r="12" spans="1:12" ht="17.100000000000001" customHeight="1" x14ac:dyDescent="0.3">
      <c r="A12" s="205">
        <v>4</v>
      </c>
      <c r="B12" s="49"/>
      <c r="C12" s="955"/>
      <c r="D12" s="955"/>
      <c r="E12" s="956" t="s">
        <v>369</v>
      </c>
      <c r="F12" s="2">
        <v>1263768</v>
      </c>
      <c r="G12" s="2">
        <v>1358062</v>
      </c>
      <c r="H12" s="2">
        <v>1358062</v>
      </c>
      <c r="I12" s="935">
        <v>1355095</v>
      </c>
      <c r="J12" s="90">
        <v>1395350</v>
      </c>
      <c r="K12" s="1386"/>
      <c r="L12" s="957">
        <f>SUM(J12:K12)</f>
        <v>1395350</v>
      </c>
    </row>
    <row r="13" spans="1:12" ht="32.25" customHeight="1" x14ac:dyDescent="0.3">
      <c r="A13" s="205">
        <v>5</v>
      </c>
      <c r="B13" s="49"/>
      <c r="C13" s="955"/>
      <c r="D13" s="955"/>
      <c r="E13" s="956" t="s">
        <v>370</v>
      </c>
      <c r="F13" s="136">
        <v>1575246</v>
      </c>
      <c r="G13" s="136">
        <v>2022488</v>
      </c>
      <c r="H13" s="136">
        <v>2022367</v>
      </c>
      <c r="I13" s="936">
        <v>2233104</v>
      </c>
      <c r="J13" s="356">
        <v>2229250</v>
      </c>
      <c r="K13" s="1386">
        <v>11898</v>
      </c>
      <c r="L13" s="1384">
        <f t="shared" ref="L13:L17" si="4">SUM(J13:K13)</f>
        <v>2241148</v>
      </c>
    </row>
    <row r="14" spans="1:12" ht="33.75" customHeight="1" x14ac:dyDescent="0.3">
      <c r="A14" s="205">
        <v>6</v>
      </c>
      <c r="B14" s="49"/>
      <c r="C14" s="955"/>
      <c r="D14" s="955"/>
      <c r="E14" s="956" t="s">
        <v>371</v>
      </c>
      <c r="F14" s="136">
        <v>1831922</v>
      </c>
      <c r="G14" s="136">
        <v>1836205</v>
      </c>
      <c r="H14" s="136">
        <v>2139405</v>
      </c>
      <c r="I14" s="936">
        <f>2848153-888473</f>
        <v>1959680</v>
      </c>
      <c r="J14" s="356">
        <v>2093625</v>
      </c>
      <c r="K14" s="1386">
        <v>43542</v>
      </c>
      <c r="L14" s="1384">
        <f t="shared" si="4"/>
        <v>2137167</v>
      </c>
    </row>
    <row r="15" spans="1:12" ht="32.25" customHeight="1" x14ac:dyDescent="0.35">
      <c r="A15" s="205">
        <v>7</v>
      </c>
      <c r="B15" s="49"/>
      <c r="C15" s="955"/>
      <c r="D15" s="955"/>
      <c r="E15" s="956" t="s">
        <v>374</v>
      </c>
      <c r="F15" s="2">
        <v>731430</v>
      </c>
      <c r="G15" s="2">
        <v>872006</v>
      </c>
      <c r="H15" s="2">
        <v>875057</v>
      </c>
      <c r="I15" s="935">
        <v>888473</v>
      </c>
      <c r="J15" s="90">
        <v>888473</v>
      </c>
      <c r="K15" s="1385">
        <v>53275</v>
      </c>
      <c r="L15" s="957">
        <f t="shared" si="4"/>
        <v>941748</v>
      </c>
    </row>
    <row r="16" spans="1:12" ht="17.100000000000001" customHeight="1" x14ac:dyDescent="0.35">
      <c r="A16" s="205">
        <v>8</v>
      </c>
      <c r="B16" s="49"/>
      <c r="C16" s="955"/>
      <c r="D16" s="955"/>
      <c r="E16" s="956" t="s">
        <v>372</v>
      </c>
      <c r="F16" s="2">
        <v>782440</v>
      </c>
      <c r="G16" s="2">
        <v>793912</v>
      </c>
      <c r="H16" s="2">
        <v>814784</v>
      </c>
      <c r="I16" s="935">
        <v>808436</v>
      </c>
      <c r="J16" s="90">
        <v>808436</v>
      </c>
      <c r="K16" s="1385"/>
      <c r="L16" s="957">
        <f t="shared" si="4"/>
        <v>808436</v>
      </c>
    </row>
    <row r="17" spans="1:12" ht="36" customHeight="1" x14ac:dyDescent="0.3">
      <c r="A17" s="205">
        <v>9</v>
      </c>
      <c r="B17" s="49"/>
      <c r="C17" s="955"/>
      <c r="D17" s="955"/>
      <c r="E17" s="956" t="s">
        <v>136</v>
      </c>
      <c r="F17" s="136">
        <v>71628</v>
      </c>
      <c r="G17" s="136">
        <v>3720</v>
      </c>
      <c r="H17" s="136">
        <v>36790</v>
      </c>
      <c r="I17" s="936">
        <v>1860</v>
      </c>
      <c r="J17" s="356">
        <v>10185</v>
      </c>
      <c r="K17" s="1386">
        <v>4270</v>
      </c>
      <c r="L17" s="1384">
        <f t="shared" si="4"/>
        <v>14455</v>
      </c>
    </row>
    <row r="18" spans="1:12" ht="31.5" customHeight="1" x14ac:dyDescent="0.35">
      <c r="A18" s="205">
        <v>10</v>
      </c>
      <c r="B18" s="49"/>
      <c r="C18" s="955"/>
      <c r="D18" s="955"/>
      <c r="E18" s="956" t="s">
        <v>388</v>
      </c>
      <c r="F18" s="958">
        <v>569075</v>
      </c>
      <c r="G18" s="958"/>
      <c r="H18" s="958"/>
      <c r="I18" s="937"/>
      <c r="J18" s="1436"/>
      <c r="K18" s="1385"/>
      <c r="L18" s="957"/>
    </row>
    <row r="19" spans="1:12" ht="17.25" x14ac:dyDescent="0.35">
      <c r="A19" s="205">
        <v>11</v>
      </c>
      <c r="B19" s="48"/>
      <c r="C19" s="955"/>
      <c r="D19" s="955"/>
      <c r="E19" s="956" t="s">
        <v>373</v>
      </c>
      <c r="I19" s="935"/>
      <c r="K19" s="1385"/>
      <c r="L19" s="957"/>
    </row>
    <row r="20" spans="1:12" s="64" customFormat="1" ht="17.25" x14ac:dyDescent="0.35">
      <c r="A20" s="205">
        <v>12</v>
      </c>
      <c r="B20" s="48"/>
      <c r="C20" s="955"/>
      <c r="D20" s="955"/>
      <c r="E20" s="959" t="s">
        <v>137</v>
      </c>
      <c r="F20" s="953">
        <v>1174105</v>
      </c>
      <c r="G20" s="953">
        <v>1521027</v>
      </c>
      <c r="H20" s="953">
        <v>1560432</v>
      </c>
      <c r="I20" s="934">
        <v>886307</v>
      </c>
      <c r="J20" s="1435">
        <v>904827</v>
      </c>
      <c r="K20" s="947">
        <v>362299</v>
      </c>
      <c r="L20" s="960">
        <f>SUM(J20:K20)</f>
        <v>1267126</v>
      </c>
    </row>
    <row r="21" spans="1:12" ht="16.5" customHeight="1" x14ac:dyDescent="0.35">
      <c r="A21" s="205">
        <v>13</v>
      </c>
      <c r="B21" s="48"/>
      <c r="C21" s="955"/>
      <c r="D21" s="955"/>
      <c r="E21" s="956" t="s">
        <v>138</v>
      </c>
      <c r="F21" s="2">
        <v>295289</v>
      </c>
      <c r="G21" s="2">
        <v>325200</v>
      </c>
      <c r="H21" s="2">
        <v>357474</v>
      </c>
      <c r="I21" s="935">
        <v>350400</v>
      </c>
      <c r="J21" s="90">
        <v>357533</v>
      </c>
      <c r="K21" s="1385">
        <v>21313</v>
      </c>
      <c r="L21" s="957">
        <f>SUM(J21:K21)</f>
        <v>378846</v>
      </c>
    </row>
    <row r="22" spans="1:12" ht="36" customHeight="1" x14ac:dyDescent="0.35">
      <c r="A22" s="205">
        <v>14</v>
      </c>
      <c r="B22" s="95" t="s">
        <v>295</v>
      </c>
      <c r="C22" s="955"/>
      <c r="D22" s="961">
        <v>1</v>
      </c>
      <c r="E22" s="950" t="s">
        <v>628</v>
      </c>
      <c r="F22" s="953">
        <v>287279</v>
      </c>
      <c r="G22" s="953">
        <v>32938</v>
      </c>
      <c r="H22" s="953">
        <v>203738</v>
      </c>
      <c r="I22" s="934">
        <v>15514</v>
      </c>
      <c r="J22" s="1435">
        <v>32105</v>
      </c>
      <c r="K22" s="1385">
        <v>49791</v>
      </c>
      <c r="L22" s="960">
        <f>SUM(J22:K22)</f>
        <v>81896</v>
      </c>
    </row>
    <row r="23" spans="1:12" s="64" customFormat="1" ht="36" customHeight="1" x14ac:dyDescent="0.35">
      <c r="A23" s="205">
        <v>15</v>
      </c>
      <c r="B23" s="48">
        <v>18</v>
      </c>
      <c r="C23" s="63"/>
      <c r="D23" s="63">
        <v>2</v>
      </c>
      <c r="E23" s="64" t="s">
        <v>139</v>
      </c>
      <c r="F23" s="953">
        <f>SUM(F24,F31:F34)</f>
        <v>15107943</v>
      </c>
      <c r="G23" s="953">
        <f>SUM(G24,G31:G34)</f>
        <v>13625150</v>
      </c>
      <c r="H23" s="953">
        <f>SUM(H24,H31:H34)</f>
        <v>14500214</v>
      </c>
      <c r="I23" s="934">
        <f>SUM(I24,I31:I34)</f>
        <v>14930300</v>
      </c>
      <c r="J23" s="1435">
        <f>SUM(J24,J31:J34)</f>
        <v>14936800</v>
      </c>
      <c r="K23" s="947">
        <f t="shared" ref="K23:L23" si="5">SUM(K24,K31:K34)</f>
        <v>1200</v>
      </c>
      <c r="L23" s="954">
        <f t="shared" si="5"/>
        <v>14938000</v>
      </c>
    </row>
    <row r="24" spans="1:12" s="64" customFormat="1" ht="17.25" x14ac:dyDescent="0.35">
      <c r="A24" s="205">
        <v>16</v>
      </c>
      <c r="B24" s="48"/>
      <c r="C24" s="63"/>
      <c r="D24" s="63"/>
      <c r="E24" s="962" t="s">
        <v>140</v>
      </c>
      <c r="F24" s="963">
        <f>SUM(F25:F30)</f>
        <v>15080210</v>
      </c>
      <c r="G24" s="963">
        <f>SUM(G25:G30)</f>
        <v>13625000</v>
      </c>
      <c r="H24" s="963">
        <f>SUM(H25:H30)</f>
        <v>14484948</v>
      </c>
      <c r="I24" s="938">
        <f>SUM(I25:I30)</f>
        <v>14925000</v>
      </c>
      <c r="J24" s="947">
        <f>SUM(J25:J30)</f>
        <v>14925000</v>
      </c>
      <c r="K24" s="947">
        <f t="shared" ref="K24" si="6">SUM(K25:K30)</f>
        <v>0</v>
      </c>
      <c r="L24" s="964">
        <f>SUM(L25:L30)</f>
        <v>14925000</v>
      </c>
    </row>
    <row r="25" spans="1:12" ht="16.5" customHeight="1" x14ac:dyDescent="0.35">
      <c r="A25" s="205">
        <v>17</v>
      </c>
      <c r="B25" s="48"/>
      <c r="E25" s="956" t="s">
        <v>103</v>
      </c>
      <c r="F25" s="2">
        <v>1373659</v>
      </c>
      <c r="G25" s="2">
        <v>1310000</v>
      </c>
      <c r="H25" s="2">
        <v>1321811</v>
      </c>
      <c r="I25" s="935">
        <v>1700000</v>
      </c>
      <c r="J25" s="90">
        <v>1700000</v>
      </c>
      <c r="K25" s="1385"/>
      <c r="L25" s="957">
        <f>SUM(J25:K25)</f>
        <v>1700000</v>
      </c>
    </row>
    <row r="26" spans="1:12" ht="17.25" x14ac:dyDescent="0.35">
      <c r="A26" s="205">
        <v>18</v>
      </c>
      <c r="B26" s="48"/>
      <c r="E26" s="956" t="s">
        <v>106</v>
      </c>
      <c r="F26" s="2">
        <v>57941</v>
      </c>
      <c r="G26" s="2">
        <v>45000</v>
      </c>
      <c r="H26" s="2">
        <v>49027</v>
      </c>
      <c r="I26" s="935">
        <v>45000</v>
      </c>
      <c r="J26" s="90">
        <v>45000</v>
      </c>
      <c r="K26" s="1385"/>
      <c r="L26" s="957">
        <f t="shared" ref="L26:L30" si="7">SUM(J26:K26)</f>
        <v>45000</v>
      </c>
    </row>
    <row r="27" spans="1:12" ht="17.25" x14ac:dyDescent="0.35">
      <c r="A27" s="205">
        <v>19</v>
      </c>
      <c r="B27" s="48"/>
      <c r="E27" s="956" t="s">
        <v>105</v>
      </c>
      <c r="F27" s="2">
        <v>153455</v>
      </c>
      <c r="G27" s="2">
        <v>145000</v>
      </c>
      <c r="H27" s="2">
        <v>151635</v>
      </c>
      <c r="I27" s="935">
        <v>145000</v>
      </c>
      <c r="J27" s="90">
        <v>145000</v>
      </c>
      <c r="K27" s="1385"/>
      <c r="L27" s="957">
        <f t="shared" si="7"/>
        <v>145000</v>
      </c>
    </row>
    <row r="28" spans="1:12" ht="17.25" x14ac:dyDescent="0.35">
      <c r="A28" s="205">
        <v>20</v>
      </c>
      <c r="B28" s="48"/>
      <c r="E28" s="956" t="s">
        <v>104</v>
      </c>
      <c r="F28" s="2">
        <v>127207</v>
      </c>
      <c r="G28" s="2">
        <v>110000</v>
      </c>
      <c r="H28" s="2">
        <v>137993</v>
      </c>
      <c r="I28" s="935">
        <v>115000</v>
      </c>
      <c r="J28" s="90">
        <v>115000</v>
      </c>
      <c r="K28" s="1385"/>
      <c r="L28" s="957">
        <f t="shared" si="7"/>
        <v>115000</v>
      </c>
    </row>
    <row r="29" spans="1:12" ht="17.25" x14ac:dyDescent="0.35">
      <c r="A29" s="205">
        <v>21</v>
      </c>
      <c r="B29" s="48"/>
      <c r="E29" s="956" t="s">
        <v>102</v>
      </c>
      <c r="F29" s="2">
        <v>13330454</v>
      </c>
      <c r="G29" s="2">
        <v>12000000</v>
      </c>
      <c r="H29" s="2">
        <v>12787629</v>
      </c>
      <c r="I29" s="935">
        <v>12900000</v>
      </c>
      <c r="J29" s="90">
        <v>12900000</v>
      </c>
      <c r="K29" s="1385"/>
      <c r="L29" s="957">
        <f t="shared" si="7"/>
        <v>12900000</v>
      </c>
    </row>
    <row r="30" spans="1:12" ht="17.25" x14ac:dyDescent="0.35">
      <c r="A30" s="205">
        <v>22</v>
      </c>
      <c r="B30" s="48"/>
      <c r="E30" s="956" t="s">
        <v>141</v>
      </c>
      <c r="F30" s="2">
        <v>37494</v>
      </c>
      <c r="G30" s="2">
        <v>15000</v>
      </c>
      <c r="H30" s="2">
        <v>36853</v>
      </c>
      <c r="I30" s="935">
        <v>20000</v>
      </c>
      <c r="J30" s="90">
        <v>20000</v>
      </c>
      <c r="K30" s="1385"/>
      <c r="L30" s="957">
        <f t="shared" si="7"/>
        <v>20000</v>
      </c>
    </row>
    <row r="31" spans="1:12" s="64" customFormat="1" ht="33.75" x14ac:dyDescent="0.35">
      <c r="A31" s="205">
        <v>23</v>
      </c>
      <c r="B31" s="48"/>
      <c r="C31" s="63"/>
      <c r="D31" s="63"/>
      <c r="E31" s="962" t="s">
        <v>142</v>
      </c>
      <c r="F31" s="963">
        <v>13599</v>
      </c>
      <c r="G31" s="963">
        <v>150</v>
      </c>
      <c r="H31" s="963">
        <v>7121</v>
      </c>
      <c r="I31" s="938">
        <v>5300</v>
      </c>
      <c r="J31" s="947">
        <v>5300</v>
      </c>
      <c r="K31" s="947"/>
      <c r="L31" s="1360">
        <f>SUM(J31:K31)</f>
        <v>5300</v>
      </c>
    </row>
    <row r="32" spans="1:12" s="64" customFormat="1" ht="17.25" x14ac:dyDescent="0.35">
      <c r="A32" s="205">
        <v>24</v>
      </c>
      <c r="B32" s="48"/>
      <c r="C32" s="63"/>
      <c r="D32" s="63"/>
      <c r="E32" s="962" t="s">
        <v>395</v>
      </c>
      <c r="F32" s="963">
        <v>6524</v>
      </c>
      <c r="G32" s="963"/>
      <c r="H32" s="963">
        <v>6619</v>
      </c>
      <c r="I32" s="938"/>
      <c r="J32" s="947">
        <v>6500</v>
      </c>
      <c r="K32" s="1385"/>
      <c r="L32" s="1360">
        <f>SUM(J32:K32)</f>
        <v>6500</v>
      </c>
    </row>
    <row r="33" spans="1:12" s="64" customFormat="1" ht="17.25" x14ac:dyDescent="0.35">
      <c r="A33" s="205">
        <v>25</v>
      </c>
      <c r="B33" s="48"/>
      <c r="C33" s="63"/>
      <c r="D33" s="63"/>
      <c r="E33" s="962" t="s">
        <v>396</v>
      </c>
      <c r="F33" s="963">
        <v>7600</v>
      </c>
      <c r="G33" s="963"/>
      <c r="H33" s="963">
        <v>650</v>
      </c>
      <c r="I33" s="938"/>
      <c r="J33" s="947"/>
      <c r="K33" s="1385">
        <v>1200</v>
      </c>
      <c r="L33" s="1360">
        <f>SUM(J33:K33)</f>
        <v>1200</v>
      </c>
    </row>
    <row r="34" spans="1:12" s="64" customFormat="1" ht="17.25" x14ac:dyDescent="0.35">
      <c r="A34" s="205">
        <v>26</v>
      </c>
      <c r="B34" s="48"/>
      <c r="C34" s="63"/>
      <c r="D34" s="63"/>
      <c r="E34" s="962" t="s">
        <v>397</v>
      </c>
      <c r="F34" s="963">
        <v>10</v>
      </c>
      <c r="G34" s="963"/>
      <c r="H34" s="963">
        <v>876</v>
      </c>
      <c r="I34" s="938"/>
      <c r="J34" s="947"/>
      <c r="K34" s="947"/>
      <c r="L34" s="965"/>
    </row>
    <row r="35" spans="1:12" s="64" customFormat="1" ht="36" customHeight="1" x14ac:dyDescent="0.35">
      <c r="A35" s="205">
        <v>27</v>
      </c>
      <c r="B35" s="48">
        <v>18</v>
      </c>
      <c r="C35" s="63"/>
      <c r="D35" s="63">
        <v>3</v>
      </c>
      <c r="E35" s="64" t="s">
        <v>111</v>
      </c>
      <c r="F35" s="953">
        <f t="shared" ref="F35:L35" si="8">SUM(F36:F39)</f>
        <v>7382152</v>
      </c>
      <c r="G35" s="953">
        <f t="shared" si="8"/>
        <v>3494801</v>
      </c>
      <c r="H35" s="953">
        <f t="shared" si="8"/>
        <v>2644521</v>
      </c>
      <c r="I35" s="934">
        <f t="shared" si="8"/>
        <v>1328207</v>
      </c>
      <c r="J35" s="1435">
        <f t="shared" si="8"/>
        <v>1328531</v>
      </c>
      <c r="K35" s="947">
        <f t="shared" si="8"/>
        <v>56544</v>
      </c>
      <c r="L35" s="954">
        <f t="shared" si="8"/>
        <v>1385075</v>
      </c>
    </row>
    <row r="36" spans="1:12" ht="16.5" customHeight="1" x14ac:dyDescent="0.35">
      <c r="A36" s="205">
        <v>28</v>
      </c>
      <c r="B36" s="48"/>
      <c r="E36" s="956" t="s">
        <v>234</v>
      </c>
      <c r="F36" s="2">
        <v>651630</v>
      </c>
      <c r="G36" s="2">
        <v>412241</v>
      </c>
      <c r="H36" s="2">
        <v>649353</v>
      </c>
      <c r="I36" s="935">
        <v>615228</v>
      </c>
      <c r="J36" s="90">
        <v>615228</v>
      </c>
      <c r="K36" s="1385"/>
      <c r="L36" s="957">
        <f>SUM(J36:K36)</f>
        <v>615228</v>
      </c>
    </row>
    <row r="37" spans="1:12" ht="16.5" customHeight="1" x14ac:dyDescent="0.35">
      <c r="A37" s="205">
        <v>29</v>
      </c>
      <c r="B37" s="48"/>
      <c r="E37" s="956" t="s">
        <v>512</v>
      </c>
      <c r="F37" s="2">
        <v>1646737</v>
      </c>
      <c r="G37" s="2">
        <v>1723717</v>
      </c>
      <c r="H37" s="2">
        <v>210820</v>
      </c>
      <c r="I37" s="935">
        <v>368222</v>
      </c>
      <c r="J37" s="90">
        <v>368222</v>
      </c>
      <c r="K37" s="1385"/>
      <c r="L37" s="957">
        <f t="shared" ref="L37:L39" si="9">SUM(J37:K37)</f>
        <v>368222</v>
      </c>
    </row>
    <row r="38" spans="1:12" ht="16.5" customHeight="1" x14ac:dyDescent="0.35">
      <c r="A38" s="205">
        <v>30</v>
      </c>
      <c r="B38" s="48"/>
      <c r="E38" s="956" t="s">
        <v>235</v>
      </c>
      <c r="F38" s="2">
        <v>3212029</v>
      </c>
      <c r="G38" s="2">
        <v>716355</v>
      </c>
      <c r="H38" s="2">
        <v>691017</v>
      </c>
      <c r="I38" s="935">
        <v>342395</v>
      </c>
      <c r="J38" s="90">
        <v>342395</v>
      </c>
      <c r="K38" s="1385">
        <v>56544</v>
      </c>
      <c r="L38" s="957">
        <f t="shared" si="9"/>
        <v>398939</v>
      </c>
    </row>
    <row r="39" spans="1:12" ht="16.5" customHeight="1" x14ac:dyDescent="0.35">
      <c r="A39" s="205">
        <v>31</v>
      </c>
      <c r="B39" s="48"/>
      <c r="E39" s="956" t="s">
        <v>490</v>
      </c>
      <c r="F39" s="2">
        <v>1871756</v>
      </c>
      <c r="G39" s="2">
        <v>642488</v>
      </c>
      <c r="H39" s="2">
        <v>1093331</v>
      </c>
      <c r="I39" s="935">
        <v>2362</v>
      </c>
      <c r="J39" s="90">
        <v>2686</v>
      </c>
      <c r="K39" s="1385"/>
      <c r="L39" s="957">
        <f t="shared" si="9"/>
        <v>2686</v>
      </c>
    </row>
    <row r="40" spans="1:12" s="64" customFormat="1" ht="36" customHeight="1" x14ac:dyDescent="0.35">
      <c r="A40" s="205">
        <v>32</v>
      </c>
      <c r="B40" s="96" t="s">
        <v>295</v>
      </c>
      <c r="C40" s="63"/>
      <c r="D40" s="63">
        <v>3</v>
      </c>
      <c r="E40" s="64" t="s">
        <v>143</v>
      </c>
      <c r="F40" s="953">
        <v>1596147</v>
      </c>
      <c r="G40" s="953">
        <v>1095969</v>
      </c>
      <c r="H40" s="953">
        <v>1577079</v>
      </c>
      <c r="I40" s="934">
        <v>1240860</v>
      </c>
      <c r="J40" s="1435">
        <v>1255264</v>
      </c>
      <c r="K40" s="947">
        <v>26188</v>
      </c>
      <c r="L40" s="960">
        <f>SUM(J40:K40)</f>
        <v>1281452</v>
      </c>
    </row>
    <row r="41" spans="1:12" s="64" customFormat="1" ht="36" customHeight="1" x14ac:dyDescent="0.35">
      <c r="A41" s="205">
        <v>33</v>
      </c>
      <c r="B41" s="48">
        <v>18</v>
      </c>
      <c r="C41" s="63"/>
      <c r="D41" s="63">
        <v>4</v>
      </c>
      <c r="E41" s="64" t="s">
        <v>144</v>
      </c>
      <c r="F41" s="953">
        <v>934001</v>
      </c>
      <c r="G41" s="953">
        <v>127555</v>
      </c>
      <c r="H41" s="953">
        <v>531802</v>
      </c>
      <c r="I41" s="934">
        <f>39086+24761</f>
        <v>63847</v>
      </c>
      <c r="J41" s="1435">
        <v>69077</v>
      </c>
      <c r="K41" s="947"/>
      <c r="L41" s="960">
        <f>SUM(J41:K41)</f>
        <v>69077</v>
      </c>
    </row>
    <row r="42" spans="1:12" s="64" customFormat="1" ht="16.5" customHeight="1" x14ac:dyDescent="0.35">
      <c r="A42" s="205">
        <v>34</v>
      </c>
      <c r="B42" s="48"/>
      <c r="C42" s="63"/>
      <c r="D42" s="63"/>
      <c r="E42" s="956" t="s">
        <v>391</v>
      </c>
      <c r="F42" s="2"/>
      <c r="G42" s="2"/>
      <c r="H42" s="2"/>
      <c r="I42" s="935"/>
      <c r="J42" s="90"/>
      <c r="K42" s="947"/>
      <c r="L42" s="965"/>
    </row>
    <row r="43" spans="1:12" s="64" customFormat="1" ht="16.5" customHeight="1" x14ac:dyDescent="0.35">
      <c r="A43" s="205">
        <v>35</v>
      </c>
      <c r="B43" s="48"/>
      <c r="C43" s="63"/>
      <c r="D43" s="63"/>
      <c r="E43" s="956" t="s">
        <v>629</v>
      </c>
      <c r="F43" s="2"/>
      <c r="G43" s="2"/>
      <c r="H43" s="2">
        <v>0</v>
      </c>
      <c r="I43" s="935"/>
      <c r="J43" s="90"/>
      <c r="K43" s="947"/>
      <c r="L43" s="965"/>
    </row>
    <row r="44" spans="1:12" s="64" customFormat="1" ht="36" customHeight="1" x14ac:dyDescent="0.35">
      <c r="A44" s="205">
        <v>36</v>
      </c>
      <c r="B44" s="868" t="s">
        <v>295</v>
      </c>
      <c r="C44" s="71"/>
      <c r="D44" s="72">
        <v>4</v>
      </c>
      <c r="E44" s="73" t="s">
        <v>145</v>
      </c>
      <c r="F44" s="112">
        <v>405640</v>
      </c>
      <c r="G44" s="112">
        <v>42983</v>
      </c>
      <c r="H44" s="112">
        <v>105005</v>
      </c>
      <c r="I44" s="939">
        <v>5000</v>
      </c>
      <c r="J44" s="1442">
        <v>1317</v>
      </c>
      <c r="K44" s="1385">
        <v>784</v>
      </c>
      <c r="L44" s="960">
        <f>SUM(J44:K44)</f>
        <v>2101</v>
      </c>
    </row>
    <row r="45" spans="1:12" s="70" customFormat="1" ht="36" customHeight="1" x14ac:dyDescent="0.35">
      <c r="A45" s="205">
        <v>37</v>
      </c>
      <c r="B45" s="98"/>
      <c r="C45" s="74">
        <v>2</v>
      </c>
      <c r="D45" s="74"/>
      <c r="E45" s="75" t="s">
        <v>109</v>
      </c>
      <c r="F45" s="113">
        <f t="shared" ref="F45:L45" si="10">SUM(F46,F49:F50,F52:F54)</f>
        <v>11786876</v>
      </c>
      <c r="G45" s="113">
        <f t="shared" si="10"/>
        <v>4031558</v>
      </c>
      <c r="H45" s="1362">
        <f t="shared" si="10"/>
        <v>3919512</v>
      </c>
      <c r="I45" s="113">
        <f>SUM(I46,I49:I50,I52:I54)</f>
        <v>676200</v>
      </c>
      <c r="J45" s="113">
        <f>SUM(J46,J49:J50,J52:J54)</f>
        <v>929857</v>
      </c>
      <c r="K45" s="1014">
        <f t="shared" si="10"/>
        <v>3852012</v>
      </c>
      <c r="L45" s="966">
        <f t="shared" si="10"/>
        <v>4781869</v>
      </c>
    </row>
    <row r="46" spans="1:12" s="64" customFormat="1" ht="36" customHeight="1" x14ac:dyDescent="0.35">
      <c r="A46" s="205">
        <v>38</v>
      </c>
      <c r="B46" s="48"/>
      <c r="C46" s="63"/>
      <c r="D46" s="63">
        <v>5</v>
      </c>
      <c r="E46" s="64" t="s">
        <v>630</v>
      </c>
      <c r="F46" s="953">
        <f>SUM(F47,F48)</f>
        <v>2689454</v>
      </c>
      <c r="G46" s="953">
        <f>SUM(G47,G48)</f>
        <v>2594724</v>
      </c>
      <c r="H46" s="953">
        <f>SUM(H47,H48)</f>
        <v>2594724</v>
      </c>
      <c r="I46" s="934">
        <f>SUM(I47,I48)</f>
        <v>198205</v>
      </c>
      <c r="J46" s="1443">
        <f>SUM(J47,J48)</f>
        <v>447307</v>
      </c>
      <c r="K46" s="947">
        <f t="shared" ref="K46:L46" si="11">SUM(K47,K48)</f>
        <v>3818852</v>
      </c>
      <c r="L46" s="954">
        <f t="shared" si="11"/>
        <v>4266159</v>
      </c>
    </row>
    <row r="47" spans="1:12" ht="17.25" x14ac:dyDescent="0.35">
      <c r="A47" s="205">
        <v>39</v>
      </c>
      <c r="B47" s="48">
        <v>18</v>
      </c>
      <c r="E47" s="967" t="s">
        <v>146</v>
      </c>
      <c r="I47" s="935"/>
      <c r="K47" s="1385"/>
      <c r="L47" s="968"/>
    </row>
    <row r="48" spans="1:12" ht="17.25" x14ac:dyDescent="0.35">
      <c r="A48" s="205">
        <v>40</v>
      </c>
      <c r="B48" s="48">
        <v>18</v>
      </c>
      <c r="C48" s="955"/>
      <c r="D48" s="955"/>
      <c r="E48" s="967" t="s">
        <v>147</v>
      </c>
      <c r="F48" s="2">
        <v>2689454</v>
      </c>
      <c r="G48" s="2">
        <v>2594724</v>
      </c>
      <c r="H48" s="2">
        <v>2594724</v>
      </c>
      <c r="I48" s="935">
        <v>198205</v>
      </c>
      <c r="J48" s="90">
        <v>447307</v>
      </c>
      <c r="K48" s="1385">
        <v>3818852</v>
      </c>
      <c r="L48" s="957">
        <f>SUM(J48:K48)</f>
        <v>4266159</v>
      </c>
    </row>
    <row r="49" spans="1:12" s="64" customFormat="1" ht="36" customHeight="1" x14ac:dyDescent="0.35">
      <c r="A49" s="205">
        <v>41</v>
      </c>
      <c r="B49" s="97" t="s">
        <v>295</v>
      </c>
      <c r="C49" s="969"/>
      <c r="D49" s="955">
        <v>5</v>
      </c>
      <c r="E49" s="959" t="s">
        <v>631</v>
      </c>
      <c r="F49" s="953">
        <v>69526</v>
      </c>
      <c r="G49" s="953"/>
      <c r="H49" s="953">
        <f>3984+352</f>
        <v>4336</v>
      </c>
      <c r="I49" s="934"/>
      <c r="J49" s="1435"/>
      <c r="K49" s="1385">
        <v>5000</v>
      </c>
      <c r="L49" s="960">
        <f>SUM(J49:K49)</f>
        <v>5000</v>
      </c>
    </row>
    <row r="50" spans="1:12" s="64" customFormat="1" ht="36" customHeight="1" x14ac:dyDescent="0.35">
      <c r="A50" s="205">
        <v>42</v>
      </c>
      <c r="B50" s="48">
        <v>18</v>
      </c>
      <c r="C50" s="63"/>
      <c r="D50" s="63">
        <v>6</v>
      </c>
      <c r="E50" s="64" t="s">
        <v>148</v>
      </c>
      <c r="F50" s="953">
        <f>SUM(F51:F51)</f>
        <v>579073</v>
      </c>
      <c r="G50" s="953">
        <f>SUM(G51:G51)</f>
        <v>388700</v>
      </c>
      <c r="H50" s="953">
        <f>SUM(H51:H51)</f>
        <v>76822</v>
      </c>
      <c r="I50" s="934">
        <f>SUM(I51:I51)</f>
        <v>473550</v>
      </c>
      <c r="J50" s="1435">
        <f>SUM(J51:J51)</f>
        <v>473550</v>
      </c>
      <c r="K50" s="947">
        <f t="shared" ref="K50:L50" si="12">SUM(K51:K51)</f>
        <v>0</v>
      </c>
      <c r="L50" s="954">
        <f t="shared" si="12"/>
        <v>473550</v>
      </c>
    </row>
    <row r="51" spans="1:12" ht="17.25" x14ac:dyDescent="0.35">
      <c r="A51" s="205">
        <v>43</v>
      </c>
      <c r="B51" s="48"/>
      <c r="E51" s="956" t="s">
        <v>149</v>
      </c>
      <c r="F51" s="2">
        <v>579073</v>
      </c>
      <c r="G51" s="2">
        <v>388700</v>
      </c>
      <c r="H51" s="2">
        <v>76822</v>
      </c>
      <c r="I51" s="935">
        <v>473550</v>
      </c>
      <c r="J51" s="90">
        <v>473550</v>
      </c>
      <c r="K51" s="1385"/>
      <c r="L51" s="957">
        <f>SUM(J51:K51)</f>
        <v>473550</v>
      </c>
    </row>
    <row r="52" spans="1:12" ht="36" customHeight="1" x14ac:dyDescent="0.35">
      <c r="A52" s="205">
        <v>44</v>
      </c>
      <c r="B52" s="48"/>
      <c r="D52" s="63">
        <v>6</v>
      </c>
      <c r="E52" s="959" t="s">
        <v>150</v>
      </c>
      <c r="F52" s="953">
        <v>886</v>
      </c>
      <c r="G52" s="953"/>
      <c r="H52" s="953">
        <v>1100</v>
      </c>
      <c r="I52" s="934">
        <v>4445</v>
      </c>
      <c r="J52" s="1435">
        <v>3500</v>
      </c>
      <c r="K52" s="1385"/>
      <c r="L52" s="960">
        <f>SUM(J52:K52)</f>
        <v>3500</v>
      </c>
    </row>
    <row r="53" spans="1:12" s="64" customFormat="1" ht="36" customHeight="1" x14ac:dyDescent="0.35">
      <c r="A53" s="205">
        <v>45</v>
      </c>
      <c r="B53" s="48">
        <v>18</v>
      </c>
      <c r="C53" s="63"/>
      <c r="D53" s="63">
        <v>7</v>
      </c>
      <c r="E53" s="64" t="s">
        <v>151</v>
      </c>
      <c r="F53" s="953">
        <v>8351717</v>
      </c>
      <c r="G53" s="953">
        <v>1024140</v>
      </c>
      <c r="H53" s="953">
        <v>1215634</v>
      </c>
      <c r="I53" s="934"/>
      <c r="J53" s="1435">
        <v>500</v>
      </c>
      <c r="K53" s="1385">
        <v>28000</v>
      </c>
      <c r="L53" s="960">
        <f>SUM(J53:K53)</f>
        <v>28500</v>
      </c>
    </row>
    <row r="54" spans="1:12" s="64" customFormat="1" ht="36" customHeight="1" x14ac:dyDescent="0.35">
      <c r="A54" s="205">
        <v>46</v>
      </c>
      <c r="B54" s="97" t="s">
        <v>295</v>
      </c>
      <c r="C54" s="969"/>
      <c r="D54" s="955">
        <v>7</v>
      </c>
      <c r="E54" s="970" t="s">
        <v>152</v>
      </c>
      <c r="F54" s="953">
        <v>96220</v>
      </c>
      <c r="G54" s="953">
        <v>23994</v>
      </c>
      <c r="H54" s="953">
        <f>27248-352</f>
        <v>26896</v>
      </c>
      <c r="I54" s="934"/>
      <c r="J54" s="1435">
        <v>5000</v>
      </c>
      <c r="K54" s="1385">
        <v>160</v>
      </c>
      <c r="L54" s="960">
        <f>SUM(J54:K54)</f>
        <v>5160</v>
      </c>
    </row>
    <row r="55" spans="1:12" s="11" customFormat="1" ht="36" customHeight="1" x14ac:dyDescent="0.3">
      <c r="A55" s="205">
        <v>47</v>
      </c>
      <c r="B55" s="10">
        <v>18</v>
      </c>
      <c r="C55" s="76"/>
      <c r="D55" s="76"/>
      <c r="E55" s="170" t="s">
        <v>153</v>
      </c>
      <c r="F55" s="21">
        <f>SUM(F56:F56)</f>
        <v>28</v>
      </c>
      <c r="G55" s="21">
        <f>SUM(G56:G56)</f>
        <v>0</v>
      </c>
      <c r="H55" s="21">
        <f>SUM(H56:H56)</f>
        <v>28</v>
      </c>
      <c r="I55" s="940">
        <f>SUM(I56:I56)</f>
        <v>0</v>
      </c>
      <c r="J55" s="1437">
        <f t="shared" ref="J55:L55" si="13">SUM(J56:J56)</f>
        <v>0</v>
      </c>
      <c r="K55" s="1015">
        <f t="shared" si="13"/>
        <v>0</v>
      </c>
      <c r="L55" s="971">
        <f t="shared" si="13"/>
        <v>0</v>
      </c>
    </row>
    <row r="56" spans="1:12" ht="33.75" x14ac:dyDescent="0.35">
      <c r="A56" s="205">
        <v>48</v>
      </c>
      <c r="B56" s="48"/>
      <c r="C56" s="77"/>
      <c r="D56" s="77"/>
      <c r="E56" s="171" t="s">
        <v>211</v>
      </c>
      <c r="F56" s="22">
        <v>28</v>
      </c>
      <c r="G56" s="22"/>
      <c r="H56" s="22">
        <v>28</v>
      </c>
      <c r="I56" s="941"/>
      <c r="K56" s="1385"/>
      <c r="L56" s="968"/>
    </row>
    <row r="57" spans="1:12" s="11" customFormat="1" ht="40.15" customHeight="1" thickBot="1" x14ac:dyDescent="0.35">
      <c r="A57" s="205">
        <v>49</v>
      </c>
      <c r="B57" s="99"/>
      <c r="C57" s="79"/>
      <c r="D57" s="79"/>
      <c r="E57" s="80" t="s">
        <v>154</v>
      </c>
      <c r="F57" s="114">
        <f>SUM(F9,F45,F55)</f>
        <v>45499680</v>
      </c>
      <c r="G57" s="114">
        <f>SUM(G9,G45,G55)</f>
        <v>30858374</v>
      </c>
      <c r="H57" s="114">
        <f>SUM(H9,H45,H55)</f>
        <v>32288796</v>
      </c>
      <c r="I57" s="942">
        <f>SUM(I9,I45,I55)</f>
        <v>26392883</v>
      </c>
      <c r="J57" s="1438">
        <f>SUM(J9,J45,J55)</f>
        <v>26883097</v>
      </c>
      <c r="K57" s="1016">
        <f t="shared" ref="K57" si="14">SUM(K9,K45,K55)</f>
        <v>4461803</v>
      </c>
      <c r="L57" s="972">
        <f>SUM(L9,L45,L55)</f>
        <v>31344900</v>
      </c>
    </row>
    <row r="58" spans="1:12" s="11" customFormat="1" ht="40.15" customHeight="1" thickTop="1" thickBot="1" x14ac:dyDescent="0.35">
      <c r="A58" s="205">
        <v>50</v>
      </c>
      <c r="B58" s="100"/>
      <c r="C58" s="81"/>
      <c r="D58" s="81"/>
      <c r="E58" s="82" t="s">
        <v>155</v>
      </c>
      <c r="F58" s="234">
        <f>+F57-'2.Onki'!F41</f>
        <v>-6554468</v>
      </c>
      <c r="G58" s="234">
        <f>+G57-'2.Onki'!G41</f>
        <v>-12231660</v>
      </c>
      <c r="H58" s="234">
        <f>+H57-'2.Onki'!H41</f>
        <v>-1457728</v>
      </c>
      <c r="I58" s="943">
        <f>+I57-'2.Onki'!I41</f>
        <v>-12041562</v>
      </c>
      <c r="J58" s="1439">
        <f>+J57-'2.Onki'!J41</f>
        <v>-14452590</v>
      </c>
      <c r="K58" s="1017">
        <f>+K57-'2.Onki'!K41</f>
        <v>0</v>
      </c>
      <c r="L58" s="973">
        <f>+L57-'2.Onki'!L41</f>
        <v>-14452590</v>
      </c>
    </row>
    <row r="59" spans="1:12" s="11" customFormat="1" ht="36" customHeight="1" x14ac:dyDescent="0.3">
      <c r="A59" s="205">
        <v>51</v>
      </c>
      <c r="B59" s="10"/>
      <c r="C59" s="3"/>
      <c r="D59" s="3"/>
      <c r="E59" s="11" t="s">
        <v>156</v>
      </c>
      <c r="F59" s="974">
        <f>SUM(F60,F70)</f>
        <v>23797191</v>
      </c>
      <c r="G59" s="974">
        <f t="shared" ref="G59:L59" si="15">SUM(G60,G70)</f>
        <v>12689397</v>
      </c>
      <c r="H59" s="974">
        <f t="shared" si="15"/>
        <v>17175240</v>
      </c>
      <c r="I59" s="944">
        <f t="shared" si="15"/>
        <v>12501795</v>
      </c>
      <c r="J59" s="1444">
        <f t="shared" si="15"/>
        <v>15931820</v>
      </c>
      <c r="K59" s="1018">
        <f t="shared" si="15"/>
        <v>109544</v>
      </c>
      <c r="L59" s="975">
        <f t="shared" si="15"/>
        <v>16041364</v>
      </c>
    </row>
    <row r="60" spans="1:12" s="11" customFormat="1" ht="33" customHeight="1" x14ac:dyDescent="0.3">
      <c r="A60" s="205">
        <v>52</v>
      </c>
      <c r="B60" s="101"/>
      <c r="C60" s="76"/>
      <c r="D60" s="76"/>
      <c r="E60" s="83" t="s">
        <v>236</v>
      </c>
      <c r="F60" s="21">
        <f>SUM(F61,F65,F69)</f>
        <v>22898752</v>
      </c>
      <c r="G60" s="21">
        <f t="shared" ref="G60:L60" si="16">SUM(G61,G65,G69)</f>
        <v>12689397</v>
      </c>
      <c r="H60" s="21">
        <f t="shared" si="16"/>
        <v>16605894</v>
      </c>
      <c r="I60" s="940">
        <f t="shared" si="16"/>
        <v>12501795</v>
      </c>
      <c r="J60" s="1437">
        <f t="shared" si="16"/>
        <v>14912823</v>
      </c>
      <c r="K60" s="1015">
        <f t="shared" si="16"/>
        <v>0</v>
      </c>
      <c r="L60" s="971">
        <f t="shared" si="16"/>
        <v>14912823</v>
      </c>
    </row>
    <row r="61" spans="1:12" s="64" customFormat="1" ht="24" customHeight="1" x14ac:dyDescent="0.35">
      <c r="A61" s="205">
        <v>53</v>
      </c>
      <c r="B61" s="48"/>
      <c r="C61" s="63">
        <v>1</v>
      </c>
      <c r="D61" s="63">
        <v>8</v>
      </c>
      <c r="E61" s="64" t="s">
        <v>491</v>
      </c>
      <c r="F61" s="953">
        <f>SUM(F62:F64)</f>
        <v>7764718</v>
      </c>
      <c r="G61" s="953">
        <f>SUM(G62:G64)</f>
        <v>6572145</v>
      </c>
      <c r="H61" s="953">
        <f>SUM(H62:H64)</f>
        <v>10243449</v>
      </c>
      <c r="I61" s="934">
        <f>SUM(I62:I64)</f>
        <v>3844293</v>
      </c>
      <c r="J61" s="1443">
        <f>SUM(J62:J64)</f>
        <v>5804629</v>
      </c>
      <c r="K61" s="947">
        <f t="shared" ref="K61:L61" si="17">SUM(K62:K64)</f>
        <v>0</v>
      </c>
      <c r="L61" s="954">
        <f t="shared" si="17"/>
        <v>5804629</v>
      </c>
    </row>
    <row r="62" spans="1:12" ht="17.25" x14ac:dyDescent="0.35">
      <c r="A62" s="205">
        <v>54</v>
      </c>
      <c r="B62" s="95" t="s">
        <v>259</v>
      </c>
      <c r="E62" s="956" t="s">
        <v>157</v>
      </c>
      <c r="F62" s="2">
        <v>944483</v>
      </c>
      <c r="G62" s="2">
        <v>313980</v>
      </c>
      <c r="H62" s="2">
        <v>1044828</v>
      </c>
      <c r="I62" s="935">
        <f>690175-22619</f>
        <v>667556</v>
      </c>
      <c r="J62" s="90">
        <v>1267312</v>
      </c>
      <c r="K62" s="1385"/>
      <c r="L62" s="957">
        <f>SUM(J62:K62)</f>
        <v>1267312</v>
      </c>
    </row>
    <row r="63" spans="1:12" ht="17.25" x14ac:dyDescent="0.35">
      <c r="A63" s="205">
        <v>55</v>
      </c>
      <c r="B63" s="48">
        <v>17</v>
      </c>
      <c r="E63" s="956" t="s">
        <v>158</v>
      </c>
      <c r="F63" s="2">
        <v>657003</v>
      </c>
      <c r="G63" s="2">
        <v>10712</v>
      </c>
      <c r="H63" s="2">
        <v>625428</v>
      </c>
      <c r="I63" s="935">
        <f>166375-78247</f>
        <v>88128</v>
      </c>
      <c r="J63" s="90">
        <v>859051</v>
      </c>
      <c r="K63" s="1385"/>
      <c r="L63" s="957">
        <f t="shared" ref="L63:L64" si="18">SUM(J63:K63)</f>
        <v>859051</v>
      </c>
    </row>
    <row r="64" spans="1:12" ht="17.25" x14ac:dyDescent="0.35">
      <c r="A64" s="205">
        <v>56</v>
      </c>
      <c r="B64" s="48">
        <v>18</v>
      </c>
      <c r="E64" s="956" t="s">
        <v>99</v>
      </c>
      <c r="F64" s="2">
        <v>6163232</v>
      </c>
      <c r="G64" s="2">
        <v>6247453</v>
      </c>
      <c r="H64" s="2">
        <v>8573193</v>
      </c>
      <c r="I64" s="935">
        <f>3058526+20000+10083</f>
        <v>3088609</v>
      </c>
      <c r="J64" s="90">
        <v>3678266</v>
      </c>
      <c r="K64" s="1385"/>
      <c r="L64" s="957">
        <f t="shared" si="18"/>
        <v>3678266</v>
      </c>
    </row>
    <row r="65" spans="1:12" s="64" customFormat="1" ht="24" customHeight="1" x14ac:dyDescent="0.35">
      <c r="A65" s="205">
        <v>57</v>
      </c>
      <c r="B65" s="48"/>
      <c r="C65" s="63">
        <v>2</v>
      </c>
      <c r="D65" s="63">
        <v>11</v>
      </c>
      <c r="E65" s="64" t="s">
        <v>212</v>
      </c>
      <c r="F65" s="953">
        <f>SUM(F66:F68)</f>
        <v>15134034</v>
      </c>
      <c r="G65" s="953">
        <f>SUM(G66:G68)</f>
        <v>6117252</v>
      </c>
      <c r="H65" s="953">
        <f>SUM(H66:H68)</f>
        <v>6362445</v>
      </c>
      <c r="I65" s="934">
        <f>SUM(I66:I68)</f>
        <v>7157502</v>
      </c>
      <c r="J65" s="1435">
        <f>SUM(J66:J68)</f>
        <v>7608194</v>
      </c>
      <c r="K65" s="947">
        <f t="shared" ref="K65:L65" si="19">SUM(K66:K68)</f>
        <v>0</v>
      </c>
      <c r="L65" s="954">
        <f t="shared" si="19"/>
        <v>7608194</v>
      </c>
    </row>
    <row r="66" spans="1:12" s="64" customFormat="1" ht="17.25" x14ac:dyDescent="0.35">
      <c r="A66" s="205">
        <v>58</v>
      </c>
      <c r="B66" s="96" t="s">
        <v>259</v>
      </c>
      <c r="C66" s="63"/>
      <c r="D66" s="63"/>
      <c r="E66" s="976" t="s">
        <v>157</v>
      </c>
      <c r="F66" s="2">
        <v>302812</v>
      </c>
      <c r="G66" s="2">
        <v>116782</v>
      </c>
      <c r="H66" s="2">
        <v>215702</v>
      </c>
      <c r="I66" s="935">
        <v>26619</v>
      </c>
      <c r="J66" s="90">
        <v>120651</v>
      </c>
      <c r="K66" s="1385"/>
      <c r="L66" s="957">
        <f>SUM(J66:K66)</f>
        <v>120651</v>
      </c>
    </row>
    <row r="67" spans="1:12" s="64" customFormat="1" ht="17.25" x14ac:dyDescent="0.35">
      <c r="A67" s="205">
        <v>59</v>
      </c>
      <c r="B67" s="96" t="s">
        <v>250</v>
      </c>
      <c r="C67" s="63"/>
      <c r="D67" s="63"/>
      <c r="E67" s="956" t="s">
        <v>158</v>
      </c>
      <c r="F67" s="2">
        <v>65678</v>
      </c>
      <c r="G67" s="2"/>
      <c r="H67" s="2">
        <v>75275</v>
      </c>
      <c r="I67" s="935">
        <v>78247</v>
      </c>
      <c r="J67" s="90">
        <v>167947</v>
      </c>
      <c r="K67" s="1385"/>
      <c r="L67" s="957">
        <f t="shared" ref="L67:L68" si="20">SUM(J67:K67)</f>
        <v>167947</v>
      </c>
    </row>
    <row r="68" spans="1:12" s="64" customFormat="1" ht="17.25" x14ac:dyDescent="0.35">
      <c r="A68" s="205">
        <v>60</v>
      </c>
      <c r="B68" s="48">
        <v>18</v>
      </c>
      <c r="C68" s="63"/>
      <c r="D68" s="63"/>
      <c r="E68" s="976" t="s">
        <v>99</v>
      </c>
      <c r="F68" s="2">
        <v>14765544</v>
      </c>
      <c r="G68" s="2">
        <v>6000470</v>
      </c>
      <c r="H68" s="2">
        <v>6071468</v>
      </c>
      <c r="I68" s="935">
        <f>7056136-3500</f>
        <v>7052636</v>
      </c>
      <c r="J68" s="90">
        <v>7319596</v>
      </c>
      <c r="K68" s="1385"/>
      <c r="L68" s="957">
        <f t="shared" si="20"/>
        <v>7319596</v>
      </c>
    </row>
    <row r="69" spans="1:12" s="11" customFormat="1" ht="24" customHeight="1" x14ac:dyDescent="0.3">
      <c r="A69" s="205">
        <v>61</v>
      </c>
      <c r="B69" s="10">
        <v>18</v>
      </c>
      <c r="C69" s="3">
        <v>1</v>
      </c>
      <c r="D69" s="3">
        <v>9</v>
      </c>
      <c r="E69" s="11" t="s">
        <v>576</v>
      </c>
      <c r="F69" s="974"/>
      <c r="G69" s="974"/>
      <c r="H69" s="974"/>
      <c r="I69" s="944">
        <v>1500000</v>
      </c>
      <c r="J69" s="357">
        <v>1500000</v>
      </c>
      <c r="K69" s="1018"/>
      <c r="L69" s="977">
        <f>SUM(J69:K69)</f>
        <v>1500000</v>
      </c>
    </row>
    <row r="70" spans="1:12" s="11" customFormat="1" ht="30" customHeight="1" x14ac:dyDescent="0.3">
      <c r="A70" s="205">
        <v>62</v>
      </c>
      <c r="B70" s="101"/>
      <c r="C70" s="76"/>
      <c r="D70" s="76"/>
      <c r="E70" s="83" t="s">
        <v>237</v>
      </c>
      <c r="F70" s="21">
        <f>SUM(F71:F74)</f>
        <v>898439</v>
      </c>
      <c r="G70" s="21">
        <f t="shared" ref="G70:L70" si="21">SUM(G71:G74)</f>
        <v>0</v>
      </c>
      <c r="H70" s="21">
        <f t="shared" si="21"/>
        <v>569346</v>
      </c>
      <c r="I70" s="940">
        <f t="shared" si="21"/>
        <v>0</v>
      </c>
      <c r="J70" s="1437">
        <f t="shared" si="21"/>
        <v>1018997</v>
      </c>
      <c r="K70" s="1015">
        <f t="shared" si="21"/>
        <v>109544</v>
      </c>
      <c r="L70" s="971">
        <f t="shared" si="21"/>
        <v>1128541</v>
      </c>
    </row>
    <row r="71" spans="1:12" s="11" customFormat="1" ht="24" customHeight="1" x14ac:dyDescent="0.3">
      <c r="A71" s="205">
        <v>63</v>
      </c>
      <c r="B71" s="10">
        <v>18</v>
      </c>
      <c r="C71" s="3">
        <v>1</v>
      </c>
      <c r="D71" s="3">
        <v>10</v>
      </c>
      <c r="E71" s="11" t="s">
        <v>214</v>
      </c>
      <c r="F71" s="974">
        <v>378732</v>
      </c>
      <c r="G71" s="974"/>
      <c r="H71" s="974">
        <v>569346</v>
      </c>
      <c r="I71" s="944"/>
      <c r="J71" s="357">
        <v>1018997</v>
      </c>
      <c r="K71" s="1018">
        <v>109544</v>
      </c>
      <c r="L71" s="977">
        <f>SUM(J71:K71)</f>
        <v>1128541</v>
      </c>
    </row>
    <row r="72" spans="1:12" s="64" customFormat="1" ht="24" customHeight="1" x14ac:dyDescent="0.35">
      <c r="A72" s="205">
        <v>64</v>
      </c>
      <c r="B72" s="48">
        <v>18</v>
      </c>
      <c r="C72" s="63">
        <v>2</v>
      </c>
      <c r="D72" s="63">
        <v>12</v>
      </c>
      <c r="E72" s="64" t="s">
        <v>159</v>
      </c>
      <c r="F72" s="953"/>
      <c r="G72" s="953"/>
      <c r="H72" s="953"/>
      <c r="I72" s="934"/>
      <c r="J72" s="1435"/>
      <c r="K72" s="947"/>
      <c r="L72" s="965"/>
    </row>
    <row r="73" spans="1:12" ht="17.25" x14ac:dyDescent="0.35">
      <c r="A73" s="205">
        <v>65</v>
      </c>
      <c r="B73" s="48"/>
      <c r="E73" s="956" t="s">
        <v>159</v>
      </c>
      <c r="I73" s="935"/>
      <c r="K73" s="1385"/>
      <c r="L73" s="968"/>
    </row>
    <row r="74" spans="1:12" ht="17.25" x14ac:dyDescent="0.35">
      <c r="A74" s="205">
        <v>66</v>
      </c>
      <c r="B74" s="48"/>
      <c r="E74" s="84" t="s">
        <v>160</v>
      </c>
      <c r="F74" s="22">
        <v>519707</v>
      </c>
      <c r="G74" s="22"/>
      <c r="H74" s="22"/>
      <c r="I74" s="935"/>
      <c r="K74" s="1387"/>
      <c r="L74" s="978"/>
    </row>
    <row r="75" spans="1:12" s="11" customFormat="1" ht="36" customHeight="1" thickBot="1" x14ac:dyDescent="0.35">
      <c r="A75" s="205">
        <v>67</v>
      </c>
      <c r="B75" s="102"/>
      <c r="C75" s="85"/>
      <c r="D75" s="85"/>
      <c r="E75" s="86" t="s">
        <v>161</v>
      </c>
      <c r="F75" s="115">
        <f>SUM(F57,F59)</f>
        <v>69296871</v>
      </c>
      <c r="G75" s="115">
        <f>SUM(G57,G59)</f>
        <v>43547771</v>
      </c>
      <c r="H75" s="115">
        <f>SUM(H57,H59)</f>
        <v>49464036</v>
      </c>
      <c r="I75" s="945">
        <f>SUM(I57,I59)</f>
        <v>38894678</v>
      </c>
      <c r="J75" s="1440">
        <f t="shared" ref="J75:L75" si="22">SUM(J57,J59)</f>
        <v>42814917</v>
      </c>
      <c r="K75" s="1019">
        <f t="shared" si="22"/>
        <v>4571347</v>
      </c>
      <c r="L75" s="979">
        <f t="shared" si="22"/>
        <v>47386264</v>
      </c>
    </row>
    <row r="76" spans="1:12" x14ac:dyDescent="0.3">
      <c r="I76" s="2"/>
      <c r="J76" s="2"/>
    </row>
  </sheetData>
  <mergeCells count="4">
    <mergeCell ref="B2:E2"/>
    <mergeCell ref="B4:L4"/>
    <mergeCell ref="B5:L5"/>
    <mergeCell ref="B1:K1"/>
  </mergeCells>
  <printOptions horizontalCentered="1"/>
  <pageMargins left="0.19685039370078741" right="0.19685039370078741" top="0.59055118110236227" bottom="0.59055118110236227" header="0.51181102362204722" footer="0.51181102362204722"/>
  <pageSetup paperSize="9" scale="54" fitToHeight="2" orientation="portrait" r:id="rId1"/>
  <headerFooter alignWithMargins="0">
    <oddFooter>&amp;C- &amp;P -</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AQ40"/>
  <sheetViews>
    <sheetView view="pageBreakPreview" topLeftCell="D14" zoomScaleNormal="100" zoomScaleSheetLayoutView="100" workbookViewId="0">
      <selection activeCell="P14" sqref="P14"/>
    </sheetView>
  </sheetViews>
  <sheetFormatPr defaultColWidth="9.28515625" defaultRowHeight="16.5" x14ac:dyDescent="0.3"/>
  <cols>
    <col min="1" max="1" width="4.7109375" style="63" customWidth="1"/>
    <col min="2" max="3" width="5.7109375" style="89" customWidth="1"/>
    <col min="4" max="4" width="55.7109375" style="19" customWidth="1"/>
    <col min="5" max="6" width="15.7109375" style="2" customWidth="1"/>
    <col min="7" max="8" width="17.7109375" style="2" customWidth="1"/>
    <col min="9" max="10" width="5.7109375" style="89" customWidth="1"/>
    <col min="11" max="11" width="60.7109375" style="19" customWidth="1"/>
    <col min="12" max="13" width="15.7109375" style="2" customWidth="1"/>
    <col min="14" max="14" width="17.7109375" style="2" customWidth="1"/>
    <col min="15" max="15" width="17.7109375" style="19" customWidth="1"/>
    <col min="16" max="16384" width="9.28515625" style="19"/>
  </cols>
  <sheetData>
    <row r="1" spans="1:16" x14ac:dyDescent="0.3">
      <c r="B1" s="1839" t="s">
        <v>873</v>
      </c>
      <c r="C1" s="1839"/>
      <c r="D1" s="1839"/>
      <c r="E1" s="1839"/>
      <c r="F1" s="1839"/>
      <c r="G1" s="1839"/>
      <c r="H1" s="1839"/>
      <c r="I1" s="1839"/>
      <c r="J1" s="1839"/>
    </row>
    <row r="2" spans="1:16" s="1" customFormat="1" ht="18" customHeight="1" x14ac:dyDescent="0.2">
      <c r="A2" s="3"/>
      <c r="B2" s="2050" t="s">
        <v>802</v>
      </c>
      <c r="C2" s="2050"/>
      <c r="D2" s="2050"/>
      <c r="E2" s="136"/>
      <c r="F2" s="136"/>
      <c r="G2" s="136"/>
      <c r="H2" s="136"/>
      <c r="I2" s="137"/>
      <c r="J2" s="137"/>
      <c r="L2" s="136"/>
      <c r="M2" s="136"/>
      <c r="N2" s="136"/>
    </row>
    <row r="3" spans="1:16" s="1" customFormat="1" ht="24.75" customHeight="1" x14ac:dyDescent="0.2">
      <c r="A3" s="3"/>
      <c r="B3" s="1840" t="s">
        <v>174</v>
      </c>
      <c r="C3" s="1840"/>
      <c r="D3" s="1840"/>
      <c r="E3" s="1840"/>
      <c r="F3" s="1840"/>
      <c r="G3" s="1840"/>
      <c r="H3" s="1840"/>
      <c r="I3" s="1840"/>
      <c r="J3" s="1840"/>
      <c r="K3" s="1840"/>
      <c r="L3" s="1840"/>
      <c r="M3" s="1840"/>
      <c r="N3" s="1840"/>
      <c r="O3" s="1840"/>
    </row>
    <row r="4" spans="1:16" s="1" customFormat="1" ht="24.75" customHeight="1" x14ac:dyDescent="0.2">
      <c r="A4" s="3"/>
      <c r="B4" s="1840" t="s">
        <v>595</v>
      </c>
      <c r="C4" s="1840"/>
      <c r="D4" s="1840"/>
      <c r="E4" s="1840"/>
      <c r="F4" s="1840"/>
      <c r="G4" s="1840"/>
      <c r="H4" s="1840"/>
      <c r="I4" s="1840"/>
      <c r="J4" s="1840"/>
      <c r="K4" s="1840"/>
      <c r="L4" s="1840"/>
      <c r="M4" s="1840"/>
      <c r="N4" s="1840"/>
      <c r="O4" s="1840"/>
    </row>
    <row r="5" spans="1:16" s="227" customFormat="1" ht="13.15" customHeight="1" x14ac:dyDescent="0.2">
      <c r="A5" s="225"/>
      <c r="B5" s="226"/>
      <c r="C5" s="226"/>
      <c r="D5" s="226"/>
      <c r="E5" s="226"/>
      <c r="F5" s="226"/>
      <c r="G5" s="226"/>
      <c r="H5" s="226"/>
      <c r="I5" s="226"/>
      <c r="J5" s="226"/>
      <c r="K5" s="226"/>
      <c r="L5" s="65"/>
      <c r="M5" s="65"/>
      <c r="N5" s="65"/>
      <c r="O5" s="65" t="s">
        <v>0</v>
      </c>
    </row>
    <row r="6" spans="1:16" s="52" customFormat="1" ht="18" customHeight="1" thickBot="1" x14ac:dyDescent="0.35">
      <c r="B6" s="53" t="s">
        <v>1</v>
      </c>
      <c r="C6" s="53" t="s">
        <v>3</v>
      </c>
      <c r="D6" s="53" t="s">
        <v>2</v>
      </c>
      <c r="E6" s="53" t="s">
        <v>4</v>
      </c>
      <c r="F6" s="53" t="s">
        <v>5</v>
      </c>
      <c r="G6" s="53" t="s">
        <v>15</v>
      </c>
      <c r="H6" s="53" t="s">
        <v>16</v>
      </c>
      <c r="I6" s="53" t="s">
        <v>17</v>
      </c>
      <c r="J6" s="53" t="s">
        <v>32</v>
      </c>
      <c r="K6" s="20" t="s">
        <v>28</v>
      </c>
      <c r="L6" s="20" t="s">
        <v>23</v>
      </c>
      <c r="M6" s="20" t="s">
        <v>33</v>
      </c>
      <c r="N6" s="20" t="s">
        <v>34</v>
      </c>
      <c r="O6" s="52" t="s">
        <v>122</v>
      </c>
    </row>
    <row r="7" spans="1:16" ht="66" x14ac:dyDescent="0.3">
      <c r="A7" s="63">
        <v>1</v>
      </c>
      <c r="B7" s="528" t="s">
        <v>314</v>
      </c>
      <c r="C7" s="529" t="s">
        <v>315</v>
      </c>
      <c r="D7" s="544" t="s">
        <v>368</v>
      </c>
      <c r="E7" s="635" t="s">
        <v>500</v>
      </c>
      <c r="F7" s="636" t="s">
        <v>657</v>
      </c>
      <c r="G7" s="635" t="s">
        <v>577</v>
      </c>
      <c r="H7" s="545" t="s">
        <v>856</v>
      </c>
      <c r="I7" s="529" t="s">
        <v>314</v>
      </c>
      <c r="J7" s="529" t="s">
        <v>315</v>
      </c>
      <c r="K7" s="544" t="s">
        <v>368</v>
      </c>
      <c r="L7" s="635" t="s">
        <v>500</v>
      </c>
      <c r="M7" s="636" t="s">
        <v>657</v>
      </c>
      <c r="N7" s="635" t="s">
        <v>578</v>
      </c>
      <c r="O7" s="1311" t="s">
        <v>856</v>
      </c>
    </row>
    <row r="8" spans="1:16" ht="24.75" customHeight="1" x14ac:dyDescent="0.35">
      <c r="A8" s="63">
        <v>2</v>
      </c>
      <c r="B8" s="48">
        <v>1</v>
      </c>
      <c r="C8" s="63"/>
      <c r="D8" s="67" t="s">
        <v>175</v>
      </c>
      <c r="E8" s="152"/>
      <c r="F8" s="152"/>
      <c r="G8" s="152"/>
      <c r="H8" s="1295"/>
      <c r="I8" s="63">
        <v>1</v>
      </c>
      <c r="J8" s="63"/>
      <c r="K8" s="67" t="s">
        <v>176</v>
      </c>
      <c r="L8" s="637"/>
      <c r="M8" s="638"/>
      <c r="N8" s="637"/>
      <c r="O8" s="1307"/>
    </row>
    <row r="9" spans="1:16" ht="15" customHeight="1" x14ac:dyDescent="0.3">
      <c r="A9" s="63">
        <v>3</v>
      </c>
      <c r="B9" s="48"/>
      <c r="C9" s="63">
        <v>1</v>
      </c>
      <c r="D9" s="19" t="s">
        <v>177</v>
      </c>
      <c r="E9" s="138">
        <v>8440358</v>
      </c>
      <c r="F9" s="138">
        <v>9010635</v>
      </c>
      <c r="G9" s="138">
        <f>'1.Onbe'!I10+'1.Onbe'!I22</f>
        <v>8148469</v>
      </c>
      <c r="H9" s="1296">
        <f>'1.Onbe'!L10+'1.Onbe'!L22</f>
        <v>8887326</v>
      </c>
      <c r="I9" s="63"/>
      <c r="J9" s="63">
        <v>1</v>
      </c>
      <c r="K9" s="19" t="s">
        <v>36</v>
      </c>
      <c r="L9" s="142">
        <v>7695400</v>
      </c>
      <c r="M9" s="639">
        <v>7958623</v>
      </c>
      <c r="N9" s="142">
        <f>'4.Inki'!K224+'6.Önk.műk.'!J1017+'9.Projekt'!I168</f>
        <v>8808650</v>
      </c>
      <c r="O9" s="1308">
        <f>'4.Inki'!K227+'6.Önk.műk.'!J1020+'9.Projekt'!I171</f>
        <v>9598366</v>
      </c>
    </row>
    <row r="10" spans="1:16" ht="16.5" customHeight="1" x14ac:dyDescent="0.3">
      <c r="A10" s="63">
        <v>4</v>
      </c>
      <c r="B10" s="48"/>
      <c r="C10" s="63">
        <v>2</v>
      </c>
      <c r="D10" s="19" t="s">
        <v>139</v>
      </c>
      <c r="E10" s="138">
        <v>13625150</v>
      </c>
      <c r="F10" s="138">
        <v>14500214</v>
      </c>
      <c r="G10" s="138">
        <f>'1.Onbe'!I23</f>
        <v>14930300</v>
      </c>
      <c r="H10" s="1296">
        <f>'1.Onbe'!L23</f>
        <v>14938000</v>
      </c>
      <c r="I10" s="63"/>
      <c r="J10" s="63">
        <v>2</v>
      </c>
      <c r="K10" s="19" t="s">
        <v>178</v>
      </c>
      <c r="L10" s="142">
        <v>1147909</v>
      </c>
      <c r="M10" s="639">
        <v>1142881</v>
      </c>
      <c r="N10" s="142">
        <f>'4.Inki'!L224+'6.Önk.műk.'!K1017+'9.Projekt'!J168</f>
        <v>1311825</v>
      </c>
      <c r="O10" s="1308">
        <f>'4.Inki'!L227+'6.Önk.műk.'!K1020+'9.Projekt'!J171</f>
        <v>1419879</v>
      </c>
    </row>
    <row r="11" spans="1:16" x14ac:dyDescent="0.3">
      <c r="A11" s="63">
        <v>5</v>
      </c>
      <c r="B11" s="48"/>
      <c r="C11" s="63">
        <v>3</v>
      </c>
      <c r="D11" s="569" t="s">
        <v>111</v>
      </c>
      <c r="E11" s="138">
        <v>4590770</v>
      </c>
      <c r="F11" s="138">
        <v>4221600</v>
      </c>
      <c r="G11" s="138">
        <f>'1.Onbe'!I35+'1.Onbe'!I40</f>
        <v>2569067</v>
      </c>
      <c r="H11" s="1296">
        <f>'1.Onbe'!L35+'1.Onbe'!L40</f>
        <v>2666527</v>
      </c>
      <c r="I11" s="63"/>
      <c r="J11" s="63">
        <v>3</v>
      </c>
      <c r="K11" s="19" t="s">
        <v>38</v>
      </c>
      <c r="L11" s="142">
        <v>9216212</v>
      </c>
      <c r="M11" s="639">
        <v>7871732</v>
      </c>
      <c r="N11" s="142">
        <f>'4.Inki'!M224+'6.Önk.műk.'!L1017+'7.Beruh.'!I538+'8.Felúj.'!I97+'9.Projekt'!K168</f>
        <v>9014525</v>
      </c>
      <c r="O11" s="1308">
        <f>'6.Önk.műk.'!L1020+'4.Inki'!M227+'7.Beruh.'!I541+'8.Felúj.'!I100+'9.Projekt'!K171</f>
        <v>10417598</v>
      </c>
      <c r="P11" s="2">
        <f>10417523-O11</f>
        <v>-75</v>
      </c>
    </row>
    <row r="12" spans="1:16" x14ac:dyDescent="0.3">
      <c r="A12" s="63">
        <v>6</v>
      </c>
      <c r="B12" s="48"/>
      <c r="C12" s="63">
        <v>4</v>
      </c>
      <c r="D12" s="19" t="s">
        <v>144</v>
      </c>
      <c r="E12" s="138">
        <v>170538</v>
      </c>
      <c r="F12" s="138">
        <v>636807</v>
      </c>
      <c r="G12" s="138">
        <f>'1.Onbe'!I41+'1.Onbe'!I44</f>
        <v>68847</v>
      </c>
      <c r="H12" s="1296">
        <f>'1.Onbe'!L41+'1.Onbe'!L44</f>
        <v>71178</v>
      </c>
      <c r="I12" s="63"/>
      <c r="J12" s="63">
        <v>4</v>
      </c>
      <c r="K12" s="19" t="s">
        <v>179</v>
      </c>
      <c r="L12" s="142">
        <v>56795</v>
      </c>
      <c r="M12" s="639">
        <v>19974</v>
      </c>
      <c r="N12" s="142">
        <f>'4.Inki'!N224+'6.Önk.műk.'!M1017</f>
        <v>35385</v>
      </c>
      <c r="O12" s="1308">
        <f>'6.Önk.műk.'!M1020</f>
        <v>47193</v>
      </c>
    </row>
    <row r="13" spans="1:16" x14ac:dyDescent="0.3">
      <c r="A13" s="63">
        <v>7</v>
      </c>
      <c r="B13" s="48"/>
      <c r="C13" s="63"/>
      <c r="D13" s="569"/>
      <c r="E13" s="138"/>
      <c r="F13" s="138"/>
      <c r="G13" s="138"/>
      <c r="H13" s="1296"/>
      <c r="I13" s="63"/>
      <c r="J13" s="63">
        <v>5</v>
      </c>
      <c r="K13" s="50" t="s">
        <v>180</v>
      </c>
      <c r="L13" s="142">
        <v>9224909</v>
      </c>
      <c r="M13" s="639">
        <v>9475727</v>
      </c>
      <c r="N13" s="142">
        <f>'4.Inki'!O224+'6.Önk.műk.'!N1017+'9.Projekt'!L168</f>
        <v>10058985</v>
      </c>
      <c r="O13" s="1308">
        <f>'4.Inki'!O227+'6.Önk.műk.'!N1020+'9.Projekt'!L171</f>
        <v>10313777</v>
      </c>
      <c r="P13" s="2">
        <f>10313852-O13</f>
        <v>75</v>
      </c>
    </row>
    <row r="14" spans="1:16" x14ac:dyDescent="0.3">
      <c r="A14" s="63">
        <v>8</v>
      </c>
      <c r="B14" s="48"/>
      <c r="C14" s="63"/>
      <c r="D14" s="569"/>
      <c r="E14" s="138"/>
      <c r="F14" s="138"/>
      <c r="G14" s="138"/>
      <c r="H14" s="1296"/>
      <c r="I14" s="63"/>
      <c r="J14" s="63">
        <v>6</v>
      </c>
      <c r="K14" s="50" t="s">
        <v>301</v>
      </c>
      <c r="L14" s="142">
        <v>1021488</v>
      </c>
      <c r="M14" s="639"/>
      <c r="N14" s="142">
        <f>'2.Onki'!I18+'2.Onki'!I33</f>
        <v>897344</v>
      </c>
      <c r="O14" s="1308">
        <f>'2.Onki'!L18+'2.Onki'!L33</f>
        <v>778531</v>
      </c>
    </row>
    <row r="15" spans="1:16" s="1" customFormat="1" ht="25.15" customHeight="1" x14ac:dyDescent="0.3">
      <c r="A15" s="63">
        <v>9</v>
      </c>
      <c r="B15" s="530"/>
      <c r="C15" s="531"/>
      <c r="D15" s="139" t="s">
        <v>181</v>
      </c>
      <c r="E15" s="140">
        <f>SUM(E9:E14)</f>
        <v>26826816</v>
      </c>
      <c r="F15" s="140">
        <f>SUM(F9:F14)</f>
        <v>28369256</v>
      </c>
      <c r="G15" s="140">
        <f>SUM(G9:G14)</f>
        <v>25716683</v>
      </c>
      <c r="H15" s="1297">
        <f>SUM(H9:H14)</f>
        <v>26563031</v>
      </c>
      <c r="I15" s="541"/>
      <c r="J15" s="541"/>
      <c r="K15" s="139" t="s">
        <v>182</v>
      </c>
      <c r="L15" s="640">
        <f>SUM(L9:L14)</f>
        <v>28362713</v>
      </c>
      <c r="M15" s="641">
        <f>SUM(M9:M14)</f>
        <v>26468937</v>
      </c>
      <c r="N15" s="640">
        <f>SUM(N9:N14)</f>
        <v>30126714</v>
      </c>
      <c r="O15" s="141">
        <f>SUM(O9:O14)</f>
        <v>32575344</v>
      </c>
    </row>
    <row r="16" spans="1:16" ht="24.75" customHeight="1" x14ac:dyDescent="0.35">
      <c r="A16" s="63">
        <v>10</v>
      </c>
      <c r="B16" s="48">
        <v>2</v>
      </c>
      <c r="C16" s="63"/>
      <c r="D16" s="67" t="s">
        <v>183</v>
      </c>
      <c r="E16" s="152"/>
      <c r="F16" s="152"/>
      <c r="G16" s="152"/>
      <c r="H16" s="1295"/>
      <c r="I16" s="63">
        <v>2</v>
      </c>
      <c r="J16" s="63"/>
      <c r="K16" s="67" t="s">
        <v>184</v>
      </c>
      <c r="L16" s="637"/>
      <c r="M16" s="642"/>
      <c r="N16" s="637"/>
      <c r="O16" s="1307"/>
    </row>
    <row r="17" spans="1:43" x14ac:dyDescent="0.3">
      <c r="A17" s="63">
        <v>11</v>
      </c>
      <c r="B17" s="48"/>
      <c r="C17" s="63">
        <v>5</v>
      </c>
      <c r="D17" s="566" t="s">
        <v>185</v>
      </c>
      <c r="E17" s="142">
        <v>2594724</v>
      </c>
      <c r="F17" s="142">
        <v>2599060</v>
      </c>
      <c r="G17" s="142">
        <f>'1.Onbe'!I46+'1.Onbe'!I49</f>
        <v>198205</v>
      </c>
      <c r="H17" s="1298">
        <f>'1.Onbe'!L48+'1.Onbe'!L49</f>
        <v>4271159</v>
      </c>
      <c r="I17" s="570"/>
      <c r="J17" s="570">
        <v>7</v>
      </c>
      <c r="K17" s="566" t="s">
        <v>186</v>
      </c>
      <c r="L17" s="142">
        <v>11430415</v>
      </c>
      <c r="M17" s="639">
        <v>6132758</v>
      </c>
      <c r="N17" s="142">
        <f>'2.Onki'!I12+'2.Onki'!I35</f>
        <v>7358308</v>
      </c>
      <c r="O17" s="1308">
        <f>'2.Onki'!L12+'2.Onki'!L35</f>
        <v>12131725</v>
      </c>
    </row>
    <row r="18" spans="1:43" x14ac:dyDescent="0.3">
      <c r="A18" s="63">
        <v>12</v>
      </c>
      <c r="B18" s="48"/>
      <c r="C18" s="63">
        <v>6</v>
      </c>
      <c r="D18" s="566" t="s">
        <v>148</v>
      </c>
      <c r="E18" s="142">
        <v>388700</v>
      </c>
      <c r="F18" s="142">
        <v>77922</v>
      </c>
      <c r="G18" s="142">
        <f>'1.Onbe'!I50+'1.Onbe'!I52</f>
        <v>477995</v>
      </c>
      <c r="H18" s="1298">
        <f>'1.Onbe'!L50+'1.Onbe'!L52</f>
        <v>477050</v>
      </c>
      <c r="I18" s="570"/>
      <c r="J18" s="570">
        <v>8</v>
      </c>
      <c r="K18" s="566" t="s">
        <v>126</v>
      </c>
      <c r="L18" s="142">
        <v>1837575</v>
      </c>
      <c r="M18" s="639">
        <v>634190</v>
      </c>
      <c r="N18" s="142">
        <f>'2.Onki'!I36</f>
        <v>358458</v>
      </c>
      <c r="O18" s="1308">
        <f>'2.Onki'!L13+'2.Onki'!L36</f>
        <v>406468</v>
      </c>
    </row>
    <row r="19" spans="1:43" x14ac:dyDescent="0.3">
      <c r="A19" s="63">
        <v>13</v>
      </c>
      <c r="B19" s="48"/>
      <c r="C19" s="63">
        <v>7</v>
      </c>
      <c r="D19" s="19" t="s">
        <v>151</v>
      </c>
      <c r="E19" s="142">
        <v>1048134</v>
      </c>
      <c r="F19" s="142">
        <v>1242558</v>
      </c>
      <c r="G19" s="142">
        <f>'1.Onbe'!I53+'1.Onbe'!I54</f>
        <v>0</v>
      </c>
      <c r="H19" s="1298">
        <f>'1.Onbe'!L53+'1.Onbe'!L54</f>
        <v>33660</v>
      </c>
      <c r="I19" s="570"/>
      <c r="J19" s="570">
        <v>9</v>
      </c>
      <c r="K19" s="566" t="s">
        <v>187</v>
      </c>
      <c r="L19" s="142">
        <v>884831</v>
      </c>
      <c r="M19" s="639">
        <v>510639</v>
      </c>
      <c r="N19" s="142">
        <f>'2.Onki'!I37</f>
        <v>588483</v>
      </c>
      <c r="O19" s="1308">
        <f>'2.Onki'!L14+'2.Onki'!L37</f>
        <v>675845</v>
      </c>
    </row>
    <row r="20" spans="1:43" x14ac:dyDescent="0.3">
      <c r="A20" s="63">
        <v>14</v>
      </c>
      <c r="B20" s="48"/>
      <c r="C20" s="63"/>
      <c r="E20" s="142"/>
      <c r="F20" s="142"/>
      <c r="G20" s="142"/>
      <c r="H20" s="1298"/>
      <c r="I20" s="570"/>
      <c r="J20" s="570">
        <v>10</v>
      </c>
      <c r="K20" s="566" t="s">
        <v>302</v>
      </c>
      <c r="L20" s="142">
        <v>574500</v>
      </c>
      <c r="M20" s="639"/>
      <c r="N20" s="142">
        <f>'2.Onki'!I27</f>
        <v>2482</v>
      </c>
      <c r="O20" s="1308">
        <f>'2.Onki'!L27</f>
        <v>8108</v>
      </c>
    </row>
    <row r="21" spans="1:43" s="1" customFormat="1" ht="25.15" customHeight="1" thickBot="1" x14ac:dyDescent="0.35">
      <c r="A21" s="63">
        <v>15</v>
      </c>
      <c r="B21" s="532"/>
      <c r="C21" s="533"/>
      <c r="D21" s="143" t="s">
        <v>188</v>
      </c>
      <c r="E21" s="153">
        <f>SUM(E17:E20)</f>
        <v>4031558</v>
      </c>
      <c r="F21" s="153">
        <f>SUM(F17:F20)</f>
        <v>3919540</v>
      </c>
      <c r="G21" s="153">
        <f>SUM(G17:G20)</f>
        <v>676200</v>
      </c>
      <c r="H21" s="1299">
        <f>SUM(H17:H20)</f>
        <v>4781869</v>
      </c>
      <c r="I21" s="542"/>
      <c r="J21" s="542"/>
      <c r="K21" s="143" t="s">
        <v>189</v>
      </c>
      <c r="L21" s="153">
        <f>SUM(L17:L20)</f>
        <v>14727321</v>
      </c>
      <c r="M21" s="643">
        <f>SUM(M17:M20)</f>
        <v>7277587</v>
      </c>
      <c r="N21" s="153">
        <f>SUM(N17:N20)</f>
        <v>8307731</v>
      </c>
      <c r="O21" s="144">
        <f>SUM(O17:O20)</f>
        <v>13222146</v>
      </c>
    </row>
    <row r="22" spans="1:43" s="1" customFormat="1" ht="24.75" customHeight="1" thickTop="1" thickBot="1" x14ac:dyDescent="0.35">
      <c r="A22" s="63">
        <v>16</v>
      </c>
      <c r="B22" s="534"/>
      <c r="C22" s="535"/>
      <c r="D22" s="145" t="s">
        <v>154</v>
      </c>
      <c r="E22" s="869">
        <f>SUM(E15,E21)</f>
        <v>30858374</v>
      </c>
      <c r="F22" s="870">
        <f>SUM(F15,F21)</f>
        <v>32288796</v>
      </c>
      <c r="G22" s="1294">
        <f>SUM(G15,G21)</f>
        <v>26392883</v>
      </c>
      <c r="H22" s="1300">
        <f>SUM(H15,H21)</f>
        <v>31344900</v>
      </c>
      <c r="I22" s="535"/>
      <c r="J22" s="535"/>
      <c r="K22" s="145" t="s">
        <v>167</v>
      </c>
      <c r="L22" s="644">
        <f>SUM(L15,L21)</f>
        <v>43090034</v>
      </c>
      <c r="M22" s="645">
        <f>SUM(M15,M21)</f>
        <v>33746524</v>
      </c>
      <c r="N22" s="644">
        <f>SUM(N15,N21)</f>
        <v>38434445</v>
      </c>
      <c r="O22" s="161">
        <f>SUM(O15,O21)</f>
        <v>45797490</v>
      </c>
    </row>
    <row r="23" spans="1:43" s="1" customFormat="1" ht="25.15" customHeight="1" thickTop="1" x14ac:dyDescent="0.35">
      <c r="A23" s="63">
        <v>17</v>
      </c>
      <c r="B23" s="48">
        <v>1</v>
      </c>
      <c r="C23" s="63"/>
      <c r="D23" s="67" t="s">
        <v>190</v>
      </c>
      <c r="E23" s="154"/>
      <c r="F23" s="154"/>
      <c r="G23" s="154"/>
      <c r="H23" s="1301"/>
      <c r="I23" s="63">
        <v>1</v>
      </c>
      <c r="J23" s="63"/>
      <c r="K23" s="67" t="s">
        <v>191</v>
      </c>
      <c r="L23" s="154"/>
      <c r="M23" s="646"/>
      <c r="N23" s="154"/>
      <c r="O23" s="1309"/>
    </row>
    <row r="24" spans="1:43" s="1" customFormat="1" x14ac:dyDescent="0.3">
      <c r="A24" s="63">
        <v>18</v>
      </c>
      <c r="B24" s="48"/>
      <c r="C24" s="63">
        <v>8</v>
      </c>
      <c r="D24" s="1" t="s">
        <v>244</v>
      </c>
      <c r="E24" s="154">
        <f>+'1.Onbe'!G61</f>
        <v>6572145</v>
      </c>
      <c r="F24" s="154">
        <v>10243449</v>
      </c>
      <c r="G24" s="154">
        <f>+'1.Onbe'!I61</f>
        <v>3844293</v>
      </c>
      <c r="H24" s="1301">
        <f>'1.Onbe'!L61</f>
        <v>5804629</v>
      </c>
      <c r="I24" s="63"/>
      <c r="J24" s="63"/>
      <c r="L24" s="154"/>
      <c r="M24" s="646"/>
      <c r="N24" s="154"/>
      <c r="O24" s="1309"/>
    </row>
    <row r="25" spans="1:43" s="1" customFormat="1" x14ac:dyDescent="0.3">
      <c r="A25" s="63">
        <v>19</v>
      </c>
      <c r="B25" s="48"/>
      <c r="C25" s="63">
        <v>9</v>
      </c>
      <c r="D25" s="1" t="s">
        <v>576</v>
      </c>
      <c r="E25" s="154"/>
      <c r="F25" s="154"/>
      <c r="G25" s="154">
        <f>+'1.Onbe'!I69</f>
        <v>1500000</v>
      </c>
      <c r="H25" s="1301">
        <f>'1.Onbe'!L69</f>
        <v>1500000</v>
      </c>
      <c r="I25" s="63"/>
      <c r="J25" s="63">
        <v>11</v>
      </c>
      <c r="K25" s="1" t="s">
        <v>579</v>
      </c>
      <c r="L25" s="154"/>
      <c r="M25" s="646">
        <v>1500000</v>
      </c>
      <c r="N25" s="154"/>
      <c r="O25" s="1309"/>
    </row>
    <row r="26" spans="1:43" s="1" customFormat="1" x14ac:dyDescent="0.3">
      <c r="A26" s="63">
        <v>20</v>
      </c>
      <c r="B26" s="48"/>
      <c r="C26" s="63">
        <v>10</v>
      </c>
      <c r="D26" s="1" t="s">
        <v>214</v>
      </c>
      <c r="E26" s="154"/>
      <c r="F26" s="154">
        <v>569346</v>
      </c>
      <c r="G26" s="154"/>
      <c r="H26" s="1301">
        <f>'1.Onbe'!L71</f>
        <v>1128541</v>
      </c>
      <c r="I26" s="63"/>
      <c r="J26" s="63">
        <v>12</v>
      </c>
      <c r="K26" s="1" t="s">
        <v>215</v>
      </c>
      <c r="L26" s="154">
        <v>219898</v>
      </c>
      <c r="M26" s="646">
        <v>566850</v>
      </c>
      <c r="N26" s="154">
        <f>+'2.Onki'!I45</f>
        <v>222394</v>
      </c>
      <c r="O26" s="1312">
        <f>'2.Onki'!L45</f>
        <v>1350935</v>
      </c>
    </row>
    <row r="27" spans="1:43" s="1" customFormat="1" ht="24" customHeight="1" x14ac:dyDescent="0.35">
      <c r="A27" s="63">
        <v>21</v>
      </c>
      <c r="B27" s="48">
        <v>2</v>
      </c>
      <c r="C27" s="63"/>
      <c r="D27" s="67" t="s">
        <v>192</v>
      </c>
      <c r="E27" s="154"/>
      <c r="F27" s="154"/>
      <c r="G27" s="154"/>
      <c r="H27" s="1301"/>
      <c r="I27" s="63">
        <v>2</v>
      </c>
      <c r="J27" s="63"/>
      <c r="K27" s="67" t="s">
        <v>193</v>
      </c>
      <c r="L27" s="154"/>
      <c r="M27" s="646"/>
      <c r="N27" s="154"/>
      <c r="O27" s="1309"/>
    </row>
    <row r="28" spans="1:43" s="1" customFormat="1" x14ac:dyDescent="0.3">
      <c r="A28" s="63">
        <v>22</v>
      </c>
      <c r="B28" s="48"/>
      <c r="C28" s="63">
        <v>11</v>
      </c>
      <c r="D28" s="1" t="s">
        <v>244</v>
      </c>
      <c r="E28" s="154">
        <f>+'1.Onbe'!G65</f>
        <v>6117252</v>
      </c>
      <c r="F28" s="154">
        <v>6362445</v>
      </c>
      <c r="G28" s="154">
        <f>+'1.Onbe'!I65</f>
        <v>7157502</v>
      </c>
      <c r="H28" s="1301">
        <f>'1.Onbe'!L65</f>
        <v>7608194</v>
      </c>
      <c r="I28" s="63"/>
      <c r="J28" s="63"/>
      <c r="L28" s="154"/>
      <c r="M28" s="646"/>
      <c r="N28" s="154"/>
      <c r="O28" s="1309"/>
    </row>
    <row r="29" spans="1:43" s="1" customFormat="1" x14ac:dyDescent="0.3">
      <c r="A29" s="63">
        <v>23</v>
      </c>
      <c r="B29" s="48"/>
      <c r="C29" s="63">
        <v>12</v>
      </c>
      <c r="D29" s="1" t="s">
        <v>194</v>
      </c>
      <c r="E29" s="154"/>
      <c r="F29" s="154"/>
      <c r="G29" s="154"/>
      <c r="H29" s="1301"/>
      <c r="I29" s="63"/>
      <c r="J29" s="63">
        <v>13</v>
      </c>
      <c r="K29" s="1" t="s">
        <v>195</v>
      </c>
      <c r="L29" s="154">
        <v>237839</v>
      </c>
      <c r="M29" s="646">
        <v>237839</v>
      </c>
      <c r="N29" s="154">
        <f>+'2.Onki'!I47+'2.Onki'!I48</f>
        <v>237839</v>
      </c>
      <c r="O29" s="1312">
        <f>'2.Onki'!L47</f>
        <v>237839</v>
      </c>
    </row>
    <row r="30" spans="1:43" s="146" customFormat="1" ht="24.75" customHeight="1" thickBot="1" x14ac:dyDescent="0.35">
      <c r="A30" s="63">
        <v>24</v>
      </c>
      <c r="B30" s="532"/>
      <c r="C30" s="533"/>
      <c r="D30" s="78" t="s">
        <v>196</v>
      </c>
      <c r="E30" s="155">
        <f>SUM(E23:E29)</f>
        <v>12689397</v>
      </c>
      <c r="F30" s="155">
        <f>SUM(F23:F29)</f>
        <v>17175240</v>
      </c>
      <c r="G30" s="155">
        <f>SUM(G23:G29)</f>
        <v>12501795</v>
      </c>
      <c r="H30" s="1302">
        <f>SUM(H23:H29)</f>
        <v>16041364</v>
      </c>
      <c r="I30" s="533"/>
      <c r="J30" s="533"/>
      <c r="K30" s="78" t="s">
        <v>197</v>
      </c>
      <c r="L30" s="155">
        <f>SUM(L23:L29)</f>
        <v>457737</v>
      </c>
      <c r="M30" s="647">
        <f>SUM(M23:M29)</f>
        <v>2304689</v>
      </c>
      <c r="N30" s="155">
        <f>SUM(N23:N29)</f>
        <v>460233</v>
      </c>
      <c r="O30" s="162">
        <f>SUM(O23:O29)</f>
        <v>1588774</v>
      </c>
      <c r="P30" s="1"/>
      <c r="Q30" s="1"/>
      <c r="R30" s="1"/>
      <c r="S30" s="1"/>
      <c r="T30" s="1"/>
      <c r="U30" s="1"/>
      <c r="V30" s="1"/>
      <c r="W30" s="1"/>
      <c r="X30" s="1"/>
      <c r="Y30" s="1"/>
      <c r="Z30" s="1"/>
      <c r="AA30" s="1"/>
      <c r="AB30" s="1"/>
      <c r="AC30" s="1"/>
      <c r="AD30" s="1"/>
      <c r="AE30" s="1"/>
      <c r="AF30" s="1"/>
      <c r="AG30" s="1"/>
      <c r="AH30" s="1"/>
      <c r="AI30" s="1"/>
      <c r="AJ30" s="1"/>
      <c r="AK30" s="1"/>
      <c r="AL30" s="1"/>
      <c r="AM30" s="1"/>
      <c r="AN30" s="1"/>
      <c r="AO30" s="1"/>
      <c r="AP30" s="1"/>
      <c r="AQ30" s="1"/>
    </row>
    <row r="31" spans="1:43" s="1" customFormat="1" ht="30" customHeight="1" thickTop="1" thickBot="1" x14ac:dyDescent="0.35">
      <c r="A31" s="63">
        <v>25</v>
      </c>
      <c r="B31" s="532"/>
      <c r="C31" s="533"/>
      <c r="D31" s="78" t="s">
        <v>198</v>
      </c>
      <c r="E31" s="153">
        <f>SUM(E22,E30)</f>
        <v>43547771</v>
      </c>
      <c r="F31" s="153">
        <f>SUM(F22,F30)</f>
        <v>49464036</v>
      </c>
      <c r="G31" s="153">
        <f>SUM(G22,G30)</f>
        <v>38894678</v>
      </c>
      <c r="H31" s="1299">
        <f>SUM(H22,H30)</f>
        <v>47386264</v>
      </c>
      <c r="I31" s="533"/>
      <c r="J31" s="533"/>
      <c r="K31" s="78" t="s">
        <v>199</v>
      </c>
      <c r="L31" s="153">
        <f>SUM(L22,L30)</f>
        <v>43547771</v>
      </c>
      <c r="M31" s="643">
        <f>SUM(M22,M30)</f>
        <v>36051213</v>
      </c>
      <c r="N31" s="153">
        <f>SUM(N22,N30)</f>
        <v>38894678</v>
      </c>
      <c r="O31" s="144">
        <f>SUM(O22,O30)</f>
        <v>47386264</v>
      </c>
    </row>
    <row r="32" spans="1:43" s="1" customFormat="1" ht="18" thickTop="1" x14ac:dyDescent="0.3">
      <c r="A32" s="63">
        <v>26</v>
      </c>
      <c r="B32" s="536"/>
      <c r="C32" s="537"/>
      <c r="D32" s="147" t="s">
        <v>155</v>
      </c>
      <c r="E32" s="156">
        <f>+E22-L22</f>
        <v>-12231660</v>
      </c>
      <c r="F32" s="156">
        <f>+F22-M22</f>
        <v>-1457728</v>
      </c>
      <c r="G32" s="156">
        <f>+G22-N22</f>
        <v>-12041562</v>
      </c>
      <c r="H32" s="1313">
        <f>+H22-O22</f>
        <v>-14452590</v>
      </c>
      <c r="I32" s="571"/>
      <c r="J32" s="571"/>
      <c r="K32" s="572"/>
      <c r="L32" s="154"/>
      <c r="M32" s="646"/>
      <c r="N32" s="154"/>
      <c r="O32" s="1309"/>
    </row>
    <row r="33" spans="1:15" s="1" customFormat="1" ht="17.25" x14ac:dyDescent="0.3">
      <c r="A33" s="63">
        <v>27</v>
      </c>
      <c r="B33" s="48"/>
      <c r="C33" s="63"/>
      <c r="D33" s="573" t="s">
        <v>200</v>
      </c>
      <c r="E33" s="157">
        <f>+E15-L15</f>
        <v>-1535897</v>
      </c>
      <c r="F33" s="157">
        <f>+F15-M15</f>
        <v>1900319</v>
      </c>
      <c r="G33" s="157">
        <f>+G15-N15</f>
        <v>-4410031</v>
      </c>
      <c r="H33" s="1303">
        <f>+H15-O15</f>
        <v>-6012313</v>
      </c>
      <c r="I33" s="571"/>
      <c r="J33" s="571"/>
      <c r="K33" s="572"/>
      <c r="L33" s="154"/>
      <c r="M33" s="646"/>
      <c r="N33" s="154"/>
      <c r="O33" s="1309"/>
    </row>
    <row r="34" spans="1:15" s="1" customFormat="1" ht="17.25" x14ac:dyDescent="0.3">
      <c r="A34" s="63">
        <v>28</v>
      </c>
      <c r="B34" s="48"/>
      <c r="C34" s="63"/>
      <c r="D34" s="573" t="s">
        <v>201</v>
      </c>
      <c r="E34" s="157">
        <f>+E21-L21</f>
        <v>-10695763</v>
      </c>
      <c r="F34" s="157">
        <f>+F21-M21</f>
        <v>-3358047</v>
      </c>
      <c r="G34" s="157">
        <f>+G21-N21</f>
        <v>-7631531</v>
      </c>
      <c r="H34" s="1303">
        <f>+H21-O21</f>
        <v>-8440277</v>
      </c>
      <c r="I34" s="571"/>
      <c r="J34" s="571"/>
      <c r="K34" s="572"/>
      <c r="L34" s="154"/>
      <c r="M34" s="646"/>
      <c r="N34" s="154"/>
      <c r="O34" s="1309"/>
    </row>
    <row r="35" spans="1:15" s="1" customFormat="1" ht="17.25" x14ac:dyDescent="0.3">
      <c r="A35" s="63">
        <v>29</v>
      </c>
      <c r="B35" s="48"/>
      <c r="C35" s="63"/>
      <c r="D35" s="148" t="s">
        <v>202</v>
      </c>
      <c r="E35" s="157">
        <f>+E32-L30</f>
        <v>-12689397</v>
      </c>
      <c r="F35" s="157">
        <f>+F32-M30</f>
        <v>-3762417</v>
      </c>
      <c r="G35" s="157">
        <f>+G32-N30</f>
        <v>-12501795</v>
      </c>
      <c r="H35" s="1303">
        <f>+H32-O30</f>
        <v>-16041364</v>
      </c>
      <c r="I35" s="571"/>
      <c r="J35" s="571"/>
      <c r="K35" s="572"/>
      <c r="L35" s="154"/>
      <c r="M35" s="646"/>
      <c r="N35" s="154"/>
      <c r="O35" s="1309"/>
    </row>
    <row r="36" spans="1:15" s="1" customFormat="1" ht="32.25" customHeight="1" x14ac:dyDescent="0.3">
      <c r="A36" s="63">
        <v>30</v>
      </c>
      <c r="B36" s="48"/>
      <c r="C36" s="63"/>
      <c r="D36" s="574" t="s">
        <v>274</v>
      </c>
      <c r="E36" s="157">
        <f>+E24+E25+E26+E28</f>
        <v>12689397</v>
      </c>
      <c r="F36" s="157">
        <f>+F24+F25+F26+F28</f>
        <v>17175240</v>
      </c>
      <c r="G36" s="157">
        <f>+G24+G25+G28</f>
        <v>12501795</v>
      </c>
      <c r="H36" s="1303">
        <f>+H24+H25+H28</f>
        <v>14912823</v>
      </c>
      <c r="I36" s="571"/>
      <c r="J36" s="571"/>
      <c r="K36" s="572"/>
      <c r="L36" s="154"/>
      <c r="M36" s="646"/>
      <c r="N36" s="154"/>
      <c r="O36" s="1309"/>
    </row>
    <row r="37" spans="1:15" s="1" customFormat="1" ht="33.75" customHeight="1" x14ac:dyDescent="0.3">
      <c r="A37" s="63">
        <v>31</v>
      </c>
      <c r="B37" s="538"/>
      <c r="C37" s="77"/>
      <c r="D37" s="149" t="s">
        <v>275</v>
      </c>
      <c r="E37" s="158"/>
      <c r="F37" s="158"/>
      <c r="G37" s="158"/>
      <c r="H37" s="1304">
        <f>H26</f>
        <v>1128541</v>
      </c>
      <c r="I37" s="543"/>
      <c r="J37" s="543"/>
      <c r="K37" s="150"/>
      <c r="L37" s="648"/>
      <c r="M37" s="649"/>
      <c r="N37" s="648"/>
      <c r="O37" s="1310"/>
    </row>
    <row r="38" spans="1:15" ht="20.100000000000001" customHeight="1" x14ac:dyDescent="0.3">
      <c r="A38" s="63">
        <v>32</v>
      </c>
      <c r="B38" s="48"/>
      <c r="C38" s="63"/>
      <c r="D38" s="19" t="s">
        <v>203</v>
      </c>
      <c r="E38" s="159">
        <f>(E15+E25+E26+E24)/E31</f>
        <v>0.76694995479791606</v>
      </c>
      <c r="F38" s="159">
        <f>(F15+F25+F26+F24)/F31</f>
        <v>0.79213210583948301</v>
      </c>
      <c r="G38" s="159">
        <f>(G15+G25+G26+G24)/G31</f>
        <v>0.79859193075206847</v>
      </c>
      <c r="H38" s="1305">
        <f>(H15+H25+H26+H24)/H31</f>
        <v>0.73853049482862798</v>
      </c>
      <c r="I38" s="63"/>
      <c r="J38" s="63"/>
      <c r="K38" s="19" t="s">
        <v>204</v>
      </c>
      <c r="L38" s="159">
        <f>(L15+L25+L26)/L31</f>
        <v>0.65635072343886436</v>
      </c>
      <c r="M38" s="650">
        <f>(M15+M25+M26)/M31</f>
        <v>0.79153472589119267</v>
      </c>
      <c r="N38" s="159">
        <f>(N15+N25+N26)/N31</f>
        <v>0.78028947816459615</v>
      </c>
      <c r="O38" s="163">
        <f>(O15+O25+O26)/O31</f>
        <v>0.71595175766547037</v>
      </c>
    </row>
    <row r="39" spans="1:15" ht="20.100000000000001" customHeight="1" thickBot="1" x14ac:dyDescent="0.35">
      <c r="A39" s="63">
        <v>33</v>
      </c>
      <c r="B39" s="539"/>
      <c r="C39" s="540"/>
      <c r="D39" s="151" t="s">
        <v>205</v>
      </c>
      <c r="E39" s="160">
        <f>(E21+E28+E29)/E31</f>
        <v>0.23305004520208394</v>
      </c>
      <c r="F39" s="160">
        <f>(F21+F28+F29)/F31</f>
        <v>0.20786789416051696</v>
      </c>
      <c r="G39" s="160">
        <f>(G21+G28+G29)/G31</f>
        <v>0.20140806924793156</v>
      </c>
      <c r="H39" s="1306">
        <f>(H21+H28+H29)/H31</f>
        <v>0.26146950517137202</v>
      </c>
      <c r="I39" s="540"/>
      <c r="J39" s="540"/>
      <c r="K39" s="151" t="s">
        <v>206</v>
      </c>
      <c r="L39" s="160">
        <f>(L21+L28+L29)/L31</f>
        <v>0.34364927656113559</v>
      </c>
      <c r="M39" s="651">
        <f>(M21+M28+M29)/M31</f>
        <v>0.20846527410880739</v>
      </c>
      <c r="N39" s="160">
        <f>(N21+N28+N29)/N31</f>
        <v>0.21971052183540379</v>
      </c>
      <c r="O39" s="164">
        <f>(O21+O28+O29)/O31</f>
        <v>0.28404824233452969</v>
      </c>
    </row>
    <row r="40" spans="1:15" x14ac:dyDescent="0.3">
      <c r="K40" s="19" t="s">
        <v>207</v>
      </c>
    </row>
  </sheetData>
  <mergeCells count="4">
    <mergeCell ref="B2:D2"/>
    <mergeCell ref="B3:O3"/>
    <mergeCell ref="B4:O4"/>
    <mergeCell ref="B1:J1"/>
  </mergeCells>
  <printOptions horizontalCentered="1" verticalCentered="1"/>
  <pageMargins left="0.19685039370078741" right="0.19685039370078741" top="0.19685039370078741" bottom="0.19685039370078741" header="0.11811023622047245" footer="0.11811023622047245"/>
  <pageSetup paperSize="9" scale="52" fitToHeight="0" orientation="landscape" r:id="rId1"/>
  <headerFooter alignWithMargins="0">
    <oddFooter>&amp;C- &amp;P -</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K134"/>
  <sheetViews>
    <sheetView view="pageBreakPreview" zoomScaleNormal="100" zoomScaleSheetLayoutView="100" workbookViewId="0">
      <selection activeCell="A5" sqref="A5:H90"/>
    </sheetView>
  </sheetViews>
  <sheetFormatPr defaultColWidth="31.28515625" defaultRowHeight="16.5" x14ac:dyDescent="0.3"/>
  <cols>
    <col min="1" max="1" width="3.7109375" style="53" customWidth="1"/>
    <col min="2" max="2" width="3.85546875" style="3" customWidth="1"/>
    <col min="3" max="3" width="50.28515625" style="14" customWidth="1"/>
    <col min="4" max="5" width="13.7109375" style="5" customWidth="1"/>
    <col min="6" max="6" width="11.140625" style="5" customWidth="1"/>
    <col min="7" max="7" width="13.7109375" style="5" customWidth="1"/>
    <col min="8" max="8" width="29.28515625" style="6" customWidth="1"/>
    <col min="9" max="9" width="12.28515625" style="1" customWidth="1"/>
    <col min="10" max="10" width="12.7109375" style="1" customWidth="1"/>
    <col min="11" max="16384" width="31.28515625" style="1"/>
  </cols>
  <sheetData>
    <row r="1" spans="1:11" ht="17.25" customHeight="1" x14ac:dyDescent="0.3">
      <c r="B1" s="2051" t="s">
        <v>874</v>
      </c>
      <c r="C1" s="2051"/>
      <c r="D1" s="2051"/>
      <c r="E1" s="2051"/>
      <c r="F1" s="2051"/>
      <c r="G1" s="2051"/>
      <c r="H1" s="2051"/>
      <c r="I1" s="2051"/>
      <c r="J1" s="2051"/>
      <c r="K1" s="2051"/>
    </row>
    <row r="2" spans="1:11" x14ac:dyDescent="0.3">
      <c r="A2" s="63"/>
      <c r="B2" s="2052" t="s">
        <v>803</v>
      </c>
      <c r="C2" s="2052"/>
      <c r="D2" s="2052"/>
      <c r="E2" s="1542"/>
      <c r="F2" s="4"/>
      <c r="H2" s="15"/>
    </row>
    <row r="3" spans="1:11" ht="25.15" customHeight="1" x14ac:dyDescent="0.3">
      <c r="A3" s="63"/>
      <c r="C3" s="1840" t="s">
        <v>94</v>
      </c>
      <c r="D3" s="1840"/>
      <c r="E3" s="1840"/>
      <c r="F3" s="1840"/>
      <c r="G3" s="1840"/>
      <c r="H3" s="1840"/>
    </row>
    <row r="4" spans="1:11" ht="25.15" customHeight="1" x14ac:dyDescent="0.3">
      <c r="A4" s="63"/>
      <c r="B4" s="1840" t="s">
        <v>612</v>
      </c>
      <c r="C4" s="1840"/>
      <c r="D4" s="1840"/>
      <c r="E4" s="1840"/>
      <c r="F4" s="1840"/>
      <c r="G4" s="1840"/>
      <c r="H4" s="1840"/>
    </row>
    <row r="5" spans="1:11" s="55" customFormat="1" ht="18" customHeight="1" thickBot="1" x14ac:dyDescent="0.35">
      <c r="A5" s="53"/>
      <c r="B5" s="52" t="s">
        <v>1</v>
      </c>
      <c r="C5" s="54" t="s">
        <v>3</v>
      </c>
      <c r="D5" s="6" t="s">
        <v>2</v>
      </c>
      <c r="E5" s="6"/>
      <c r="F5" s="6" t="s">
        <v>4</v>
      </c>
      <c r="G5" s="6" t="s">
        <v>5</v>
      </c>
      <c r="H5" s="6" t="s">
        <v>15</v>
      </c>
    </row>
    <row r="6" spans="1:11" ht="72" customHeight="1" thickBot="1" x14ac:dyDescent="0.35">
      <c r="B6" s="7" t="s">
        <v>18</v>
      </c>
      <c r="C6" s="8" t="s">
        <v>6</v>
      </c>
      <c r="D6" s="134" t="s">
        <v>613</v>
      </c>
      <c r="E6" s="134" t="s">
        <v>855</v>
      </c>
      <c r="F6" s="1663" t="s">
        <v>95</v>
      </c>
      <c r="G6" s="134" t="s">
        <v>863</v>
      </c>
      <c r="H6" s="9" t="s">
        <v>96</v>
      </c>
    </row>
    <row r="7" spans="1:11" s="19" customFormat="1" ht="21.75" customHeight="1" thickTop="1" x14ac:dyDescent="0.35">
      <c r="A7" s="52">
        <v>1</v>
      </c>
      <c r="B7" s="49">
        <v>1</v>
      </c>
      <c r="C7" s="1664" t="s">
        <v>248</v>
      </c>
      <c r="D7" s="1665">
        <v>38</v>
      </c>
      <c r="E7" s="1665">
        <v>38</v>
      </c>
      <c r="F7" s="1665"/>
      <c r="G7" s="1665">
        <f>SUM(E7:F7)</f>
        <v>38</v>
      </c>
      <c r="H7" s="56"/>
    </row>
    <row r="8" spans="1:11" s="19" customFormat="1" ht="17.25" x14ac:dyDescent="0.35">
      <c r="A8" s="52">
        <v>2</v>
      </c>
      <c r="B8" s="49"/>
      <c r="C8" s="1666" t="s">
        <v>779</v>
      </c>
      <c r="D8" s="1667"/>
      <c r="E8" s="1667"/>
      <c r="F8" s="1667"/>
      <c r="G8" s="1668"/>
      <c r="H8" s="56"/>
    </row>
    <row r="9" spans="1:11" s="19" customFormat="1" ht="17.25" x14ac:dyDescent="0.35">
      <c r="A9" s="52">
        <v>3</v>
      </c>
      <c r="B9" s="49"/>
      <c r="C9" s="1666" t="s">
        <v>792</v>
      </c>
      <c r="D9" s="1668">
        <v>34</v>
      </c>
      <c r="E9" s="1668">
        <v>34</v>
      </c>
      <c r="F9" s="1668"/>
      <c r="G9" s="1668">
        <f>SUM(E9:F9)</f>
        <v>34</v>
      </c>
      <c r="H9" s="582"/>
    </row>
    <row r="10" spans="1:11" s="19" customFormat="1" ht="17.25" x14ac:dyDescent="0.35">
      <c r="A10" s="52">
        <v>4</v>
      </c>
      <c r="B10" s="49"/>
      <c r="C10" s="1666" t="s">
        <v>790</v>
      </c>
      <c r="D10" s="1668">
        <v>2</v>
      </c>
      <c r="E10" s="1668">
        <v>2</v>
      </c>
      <c r="F10" s="1668"/>
      <c r="G10" s="1668">
        <f t="shared" ref="G10:G11" si="0">SUM(E10:F10)</f>
        <v>2</v>
      </c>
      <c r="H10" s="56"/>
    </row>
    <row r="11" spans="1:11" s="19" customFormat="1" ht="17.25" x14ac:dyDescent="0.35">
      <c r="A11" s="52">
        <v>5</v>
      </c>
      <c r="B11" s="49"/>
      <c r="C11" s="1666" t="s">
        <v>788</v>
      </c>
      <c r="D11" s="1668">
        <v>2</v>
      </c>
      <c r="E11" s="1668">
        <v>2</v>
      </c>
      <c r="F11" s="1668"/>
      <c r="G11" s="1668">
        <f t="shared" si="0"/>
        <v>2</v>
      </c>
      <c r="H11" s="56"/>
    </row>
    <row r="12" spans="1:11" s="19" customFormat="1" ht="21.75" customHeight="1" x14ac:dyDescent="0.35">
      <c r="A12" s="52">
        <v>6</v>
      </c>
      <c r="B12" s="49">
        <v>2</v>
      </c>
      <c r="C12" s="1664" t="s">
        <v>247</v>
      </c>
      <c r="D12" s="1665">
        <v>70</v>
      </c>
      <c r="E12" s="1665">
        <v>70</v>
      </c>
      <c r="F12" s="1665"/>
      <c r="G12" s="1665">
        <f>SUM(E12:F12)</f>
        <v>70</v>
      </c>
      <c r="H12" s="56"/>
    </row>
    <row r="13" spans="1:11" s="19" customFormat="1" ht="17.25" customHeight="1" x14ac:dyDescent="0.35">
      <c r="A13" s="52">
        <v>7</v>
      </c>
      <c r="B13" s="49"/>
      <c r="C13" s="1666" t="s">
        <v>779</v>
      </c>
      <c r="D13" s="1667"/>
      <c r="E13" s="1667"/>
      <c r="F13" s="1667"/>
      <c r="G13" s="1668"/>
      <c r="H13" s="56"/>
    </row>
    <row r="14" spans="1:11" s="19" customFormat="1" ht="17.25" customHeight="1" x14ac:dyDescent="0.35">
      <c r="A14" s="52">
        <v>8</v>
      </c>
      <c r="B14" s="49"/>
      <c r="C14" s="1666" t="s">
        <v>792</v>
      </c>
      <c r="D14" s="1668">
        <v>62</v>
      </c>
      <c r="E14" s="1668">
        <v>62</v>
      </c>
      <c r="F14" s="1668"/>
      <c r="G14" s="1668">
        <f>SUM(E14:F14)</f>
        <v>62</v>
      </c>
      <c r="H14" s="56"/>
    </row>
    <row r="15" spans="1:11" s="19" customFormat="1" ht="17.25" customHeight="1" x14ac:dyDescent="0.35">
      <c r="A15" s="52">
        <v>9</v>
      </c>
      <c r="B15" s="49"/>
      <c r="C15" s="1666" t="s">
        <v>790</v>
      </c>
      <c r="D15" s="1668">
        <v>6</v>
      </c>
      <c r="E15" s="1668">
        <v>6</v>
      </c>
      <c r="F15" s="1668"/>
      <c r="G15" s="1668">
        <f t="shared" ref="G15:G16" si="1">SUM(E15:F15)</f>
        <v>6</v>
      </c>
      <c r="H15" s="56"/>
    </row>
    <row r="16" spans="1:11" s="19" customFormat="1" ht="17.25" customHeight="1" x14ac:dyDescent="0.35">
      <c r="A16" s="52">
        <v>10</v>
      </c>
      <c r="B16" s="49"/>
      <c r="C16" s="1666" t="s">
        <v>788</v>
      </c>
      <c r="D16" s="1668">
        <v>2</v>
      </c>
      <c r="E16" s="1668">
        <v>2</v>
      </c>
      <c r="F16" s="1668"/>
      <c r="G16" s="1668">
        <f t="shared" si="1"/>
        <v>2</v>
      </c>
      <c r="H16" s="56"/>
    </row>
    <row r="17" spans="1:8" s="19" customFormat="1" ht="21.75" customHeight="1" x14ac:dyDescent="0.35">
      <c r="A17" s="52">
        <v>11</v>
      </c>
      <c r="B17" s="49">
        <v>3</v>
      </c>
      <c r="C17" s="1664" t="s">
        <v>216</v>
      </c>
      <c r="D17" s="1665">
        <v>83.5</v>
      </c>
      <c r="E17" s="1665">
        <v>83.5</v>
      </c>
      <c r="F17" s="1665"/>
      <c r="G17" s="1665">
        <f>SUM(E17:F17)</f>
        <v>83.5</v>
      </c>
      <c r="H17" s="56"/>
    </row>
    <row r="18" spans="1:8" s="19" customFormat="1" ht="17.25" customHeight="1" x14ac:dyDescent="0.35">
      <c r="A18" s="52">
        <v>12</v>
      </c>
      <c r="B18" s="49"/>
      <c r="C18" s="1666" t="s">
        <v>779</v>
      </c>
      <c r="D18" s="1667"/>
      <c r="E18" s="1667"/>
      <c r="F18" s="1667"/>
      <c r="G18" s="1668"/>
      <c r="H18" s="56"/>
    </row>
    <row r="19" spans="1:8" s="19" customFormat="1" ht="17.25" customHeight="1" x14ac:dyDescent="0.35">
      <c r="A19" s="52">
        <v>13</v>
      </c>
      <c r="B19" s="49"/>
      <c r="C19" s="1666" t="s">
        <v>792</v>
      </c>
      <c r="D19" s="1668">
        <v>71.5</v>
      </c>
      <c r="E19" s="1668">
        <v>71.5</v>
      </c>
      <c r="F19" s="1667"/>
      <c r="G19" s="1668">
        <f>SUM(E19:F19)</f>
        <v>71.5</v>
      </c>
      <c r="H19" s="56"/>
    </row>
    <row r="20" spans="1:8" s="19" customFormat="1" ht="17.25" customHeight="1" x14ac:dyDescent="0.35">
      <c r="A20" s="52">
        <v>14</v>
      </c>
      <c r="B20" s="49"/>
      <c r="C20" s="1666" t="s">
        <v>790</v>
      </c>
      <c r="D20" s="1668">
        <v>10</v>
      </c>
      <c r="E20" s="1668">
        <v>10</v>
      </c>
      <c r="F20" s="1667"/>
      <c r="G20" s="1668">
        <f t="shared" ref="G20:G21" si="2">SUM(E20:F20)</f>
        <v>10</v>
      </c>
      <c r="H20" s="56"/>
    </row>
    <row r="21" spans="1:8" s="19" customFormat="1" ht="17.25" customHeight="1" x14ac:dyDescent="0.35">
      <c r="A21" s="52">
        <v>15</v>
      </c>
      <c r="B21" s="49"/>
      <c r="C21" s="1666" t="s">
        <v>788</v>
      </c>
      <c r="D21" s="1668">
        <v>2</v>
      </c>
      <c r="E21" s="1668">
        <v>2</v>
      </c>
      <c r="F21" s="1667"/>
      <c r="G21" s="1668">
        <f t="shared" si="2"/>
        <v>2</v>
      </c>
      <c r="H21" s="56"/>
    </row>
    <row r="22" spans="1:8" s="19" customFormat="1" ht="21.75" customHeight="1" x14ac:dyDescent="0.35">
      <c r="A22" s="52">
        <v>16</v>
      </c>
      <c r="B22" s="49">
        <v>4</v>
      </c>
      <c r="C22" s="1664" t="s">
        <v>217</v>
      </c>
      <c r="D22" s="1665">
        <v>60</v>
      </c>
      <c r="E22" s="1665">
        <v>60</v>
      </c>
      <c r="F22" s="1665"/>
      <c r="G22" s="1665">
        <f>SUM(E22:F22)</f>
        <v>60</v>
      </c>
      <c r="H22" s="56"/>
    </row>
    <row r="23" spans="1:8" s="19" customFormat="1" ht="17.25" customHeight="1" x14ac:dyDescent="0.35">
      <c r="A23" s="52">
        <v>17</v>
      </c>
      <c r="B23" s="49"/>
      <c r="C23" s="1666" t="s">
        <v>779</v>
      </c>
      <c r="D23" s="1667"/>
      <c r="E23" s="1667"/>
      <c r="F23" s="1667"/>
      <c r="G23" s="1668"/>
      <c r="H23" s="56"/>
    </row>
    <row r="24" spans="1:8" s="19" customFormat="1" ht="17.25" customHeight="1" x14ac:dyDescent="0.35">
      <c r="A24" s="52">
        <v>18</v>
      </c>
      <c r="B24" s="49"/>
      <c r="C24" s="1666" t="s">
        <v>792</v>
      </c>
      <c r="D24" s="1668">
        <v>52</v>
      </c>
      <c r="E24" s="1668">
        <v>52</v>
      </c>
      <c r="F24" s="1667"/>
      <c r="G24" s="1668">
        <f>SUM(E24:F24)</f>
        <v>52</v>
      </c>
      <c r="H24" s="56"/>
    </row>
    <row r="25" spans="1:8" s="19" customFormat="1" ht="17.25" customHeight="1" x14ac:dyDescent="0.35">
      <c r="A25" s="52">
        <v>19</v>
      </c>
      <c r="B25" s="49"/>
      <c r="C25" s="1666" t="s">
        <v>790</v>
      </c>
      <c r="D25" s="1668">
        <v>6.5</v>
      </c>
      <c r="E25" s="1668">
        <v>6.5</v>
      </c>
      <c r="F25" s="1667"/>
      <c r="G25" s="1668">
        <f>SUM(E25:F25)</f>
        <v>6.5</v>
      </c>
      <c r="H25" s="56"/>
    </row>
    <row r="26" spans="1:8" s="19" customFormat="1" ht="17.25" customHeight="1" x14ac:dyDescent="0.35">
      <c r="A26" s="52">
        <v>20</v>
      </c>
      <c r="B26" s="49"/>
      <c r="C26" s="1666" t="s">
        <v>788</v>
      </c>
      <c r="D26" s="1668">
        <v>1.5</v>
      </c>
      <c r="E26" s="1668">
        <v>1.5</v>
      </c>
      <c r="F26" s="1667"/>
      <c r="G26" s="1668">
        <f>SUM(E26:F26)</f>
        <v>1.5</v>
      </c>
      <c r="H26" s="56"/>
    </row>
    <row r="27" spans="1:8" s="19" customFormat="1" ht="21.75" customHeight="1" x14ac:dyDescent="0.35">
      <c r="A27" s="52">
        <v>21</v>
      </c>
      <c r="B27" s="49">
        <v>5</v>
      </c>
      <c r="C27" s="1664" t="s">
        <v>218</v>
      </c>
      <c r="D27" s="1665">
        <v>61.5</v>
      </c>
      <c r="E27" s="1665">
        <v>61.5</v>
      </c>
      <c r="F27" s="1665"/>
      <c r="G27" s="1665">
        <f>SUM(E27:F27)</f>
        <v>61.5</v>
      </c>
      <c r="H27" s="56"/>
    </row>
    <row r="28" spans="1:8" s="19" customFormat="1" ht="17.25" customHeight="1" x14ac:dyDescent="0.35">
      <c r="A28" s="52">
        <v>22</v>
      </c>
      <c r="B28" s="49"/>
      <c r="C28" s="1666" t="s">
        <v>779</v>
      </c>
      <c r="D28" s="1667"/>
      <c r="E28" s="1667"/>
      <c r="F28" s="1667"/>
      <c r="G28" s="1668"/>
      <c r="H28" s="56"/>
    </row>
    <row r="29" spans="1:8" s="19" customFormat="1" ht="17.25" customHeight="1" x14ac:dyDescent="0.35">
      <c r="A29" s="52">
        <v>23</v>
      </c>
      <c r="B29" s="49"/>
      <c r="C29" s="1666" t="s">
        <v>792</v>
      </c>
      <c r="D29" s="1668">
        <v>58</v>
      </c>
      <c r="E29" s="1668">
        <v>58</v>
      </c>
      <c r="F29" s="1667"/>
      <c r="G29" s="1668">
        <f>SUM(E29:F29)</f>
        <v>58</v>
      </c>
      <c r="H29" s="56"/>
    </row>
    <row r="30" spans="1:8" s="19" customFormat="1" ht="17.25" customHeight="1" x14ac:dyDescent="0.35">
      <c r="A30" s="52">
        <v>24</v>
      </c>
      <c r="B30" s="49"/>
      <c r="C30" s="1666" t="s">
        <v>790</v>
      </c>
      <c r="D30" s="1668">
        <v>1.5</v>
      </c>
      <c r="E30" s="1668">
        <v>1.5</v>
      </c>
      <c r="F30" s="1667"/>
      <c r="G30" s="1668">
        <f t="shared" ref="G30:G31" si="3">SUM(E30:F30)</f>
        <v>1.5</v>
      </c>
      <c r="H30" s="56"/>
    </row>
    <row r="31" spans="1:8" s="19" customFormat="1" ht="17.25" customHeight="1" x14ac:dyDescent="0.35">
      <c r="A31" s="52">
        <v>25</v>
      </c>
      <c r="B31" s="49"/>
      <c r="C31" s="1666" t="s">
        <v>788</v>
      </c>
      <c r="D31" s="1668">
        <v>2</v>
      </c>
      <c r="E31" s="1668">
        <v>2</v>
      </c>
      <c r="F31" s="1667"/>
      <c r="G31" s="1668">
        <f t="shared" si="3"/>
        <v>2</v>
      </c>
      <c r="H31" s="56"/>
    </row>
    <row r="32" spans="1:8" s="19" customFormat="1" ht="21.75" customHeight="1" x14ac:dyDescent="0.35">
      <c r="A32" s="52">
        <v>26</v>
      </c>
      <c r="B32" s="49">
        <v>6</v>
      </c>
      <c r="C32" s="1664" t="s">
        <v>219</v>
      </c>
      <c r="D32" s="1665">
        <v>36</v>
      </c>
      <c r="E32" s="1665">
        <v>36</v>
      </c>
      <c r="F32" s="1665">
        <f>F34+F35+F36</f>
        <v>1</v>
      </c>
      <c r="G32" s="1665">
        <f>SUM(E32:F32)</f>
        <v>37</v>
      </c>
      <c r="H32" s="56"/>
    </row>
    <row r="33" spans="1:8" s="19" customFormat="1" ht="17.25" customHeight="1" x14ac:dyDescent="0.35">
      <c r="A33" s="52">
        <v>27</v>
      </c>
      <c r="B33" s="49"/>
      <c r="C33" s="1666" t="s">
        <v>779</v>
      </c>
      <c r="D33" s="1667"/>
      <c r="E33" s="1667"/>
      <c r="F33" s="1667"/>
      <c r="G33" s="1668"/>
      <c r="H33" s="56"/>
    </row>
    <row r="34" spans="1:8" s="19" customFormat="1" ht="33.75" customHeight="1" x14ac:dyDescent="0.35">
      <c r="A34" s="52">
        <v>28</v>
      </c>
      <c r="B34" s="49"/>
      <c r="C34" s="1666" t="s">
        <v>792</v>
      </c>
      <c r="D34" s="1668">
        <v>27</v>
      </c>
      <c r="E34" s="1668">
        <v>27</v>
      </c>
      <c r="F34" s="1668">
        <v>1</v>
      </c>
      <c r="G34" s="1668">
        <f>SUM(E34:F34)</f>
        <v>28</v>
      </c>
      <c r="H34" s="582" t="s">
        <v>978</v>
      </c>
    </row>
    <row r="35" spans="1:8" s="19" customFormat="1" ht="17.25" customHeight="1" x14ac:dyDescent="0.35">
      <c r="A35" s="52">
        <v>29</v>
      </c>
      <c r="B35" s="49"/>
      <c r="C35" s="1666" t="s">
        <v>790</v>
      </c>
      <c r="D35" s="1668">
        <v>7</v>
      </c>
      <c r="E35" s="1668">
        <v>7</v>
      </c>
      <c r="F35" s="1667"/>
      <c r="G35" s="1668">
        <f>SUM(E35:F35)</f>
        <v>7</v>
      </c>
      <c r="H35" s="56"/>
    </row>
    <row r="36" spans="1:8" s="19" customFormat="1" ht="17.25" customHeight="1" x14ac:dyDescent="0.35">
      <c r="A36" s="52">
        <v>30</v>
      </c>
      <c r="B36" s="49"/>
      <c r="C36" s="1666" t="s">
        <v>788</v>
      </c>
      <c r="D36" s="1668">
        <v>2</v>
      </c>
      <c r="E36" s="1668">
        <v>2</v>
      </c>
      <c r="F36" s="1667"/>
      <c r="G36" s="1668">
        <f>SUM(E36:F36)</f>
        <v>2</v>
      </c>
      <c r="H36" s="56"/>
    </row>
    <row r="37" spans="1:8" s="19" customFormat="1" ht="34.5" x14ac:dyDescent="0.3">
      <c r="A37" s="52">
        <v>31</v>
      </c>
      <c r="B37" s="49">
        <v>7</v>
      </c>
      <c r="C37" s="970" t="s">
        <v>253</v>
      </c>
      <c r="D37" s="1669">
        <v>191.5</v>
      </c>
      <c r="E37" s="1669">
        <v>195.3</v>
      </c>
      <c r="F37" s="1669">
        <f>F39+F40</f>
        <v>0.85</v>
      </c>
      <c r="G37" s="1669">
        <f>SUM(E37:F37)</f>
        <v>196.15</v>
      </c>
      <c r="H37" s="172"/>
    </row>
    <row r="38" spans="1:8" s="19" customFormat="1" ht="17.25" x14ac:dyDescent="0.3">
      <c r="A38" s="52">
        <v>32</v>
      </c>
      <c r="B38" s="49"/>
      <c r="C38" s="1666" t="s">
        <v>779</v>
      </c>
      <c r="D38" s="1667"/>
      <c r="E38" s="1667"/>
      <c r="F38" s="1667"/>
      <c r="G38" s="1667"/>
      <c r="H38" s="172"/>
    </row>
    <row r="39" spans="1:8" s="19" customFormat="1" ht="72" customHeight="1" x14ac:dyDescent="0.3">
      <c r="A39" s="52">
        <v>33</v>
      </c>
      <c r="B39" s="49"/>
      <c r="C39" s="1666" t="s">
        <v>791</v>
      </c>
      <c r="D39" s="1670">
        <v>24</v>
      </c>
      <c r="E39" s="1670">
        <v>27.8</v>
      </c>
      <c r="F39" s="1670">
        <v>0.6</v>
      </c>
      <c r="G39" s="1670">
        <f>SUM(E39:F39)</f>
        <v>28.400000000000002</v>
      </c>
      <c r="H39" s="172" t="s">
        <v>977</v>
      </c>
    </row>
    <row r="40" spans="1:8" s="19" customFormat="1" ht="17.25" x14ac:dyDescent="0.35">
      <c r="A40" s="52">
        <v>34</v>
      </c>
      <c r="B40" s="49"/>
      <c r="C40" s="1666" t="s">
        <v>790</v>
      </c>
      <c r="D40" s="1668">
        <v>167.5</v>
      </c>
      <c r="E40" s="1668">
        <v>167.5</v>
      </c>
      <c r="F40" s="1668">
        <v>0.25</v>
      </c>
      <c r="G40" s="1668">
        <f>SUM(E40:F40)</f>
        <v>167.75</v>
      </c>
      <c r="H40" s="172" t="s">
        <v>976</v>
      </c>
    </row>
    <row r="41" spans="1:8" s="19" customFormat="1" ht="17.25" x14ac:dyDescent="0.35">
      <c r="A41" s="52">
        <v>35</v>
      </c>
      <c r="B41" s="49"/>
      <c r="C41" s="1666" t="s">
        <v>788</v>
      </c>
      <c r="D41" s="1668"/>
      <c r="E41" s="1668"/>
      <c r="F41" s="1668"/>
      <c r="G41" s="1668">
        <f>SUM(E41:F41)</f>
        <v>0</v>
      </c>
      <c r="H41" s="172"/>
    </row>
    <row r="42" spans="1:8" ht="33" customHeight="1" x14ac:dyDescent="0.35">
      <c r="A42" s="52">
        <v>36</v>
      </c>
      <c r="B42" s="49">
        <v>8</v>
      </c>
      <c r="C42" s="1671" t="s">
        <v>97</v>
      </c>
      <c r="D42" s="1665">
        <v>13.25</v>
      </c>
      <c r="E42" s="1665">
        <v>13.25</v>
      </c>
      <c r="F42" s="1665"/>
      <c r="G42" s="1665">
        <f>SUM(E42:F42)</f>
        <v>13.25</v>
      </c>
      <c r="H42" s="57"/>
    </row>
    <row r="43" spans="1:8" ht="17.25" customHeight="1" x14ac:dyDescent="0.3">
      <c r="A43" s="52">
        <v>37</v>
      </c>
      <c r="B43" s="49"/>
      <c r="C43" s="1666" t="s">
        <v>779</v>
      </c>
      <c r="D43" s="1667"/>
      <c r="E43" s="1667"/>
      <c r="F43" s="1667"/>
      <c r="G43" s="1667"/>
      <c r="H43" s="57"/>
    </row>
    <row r="44" spans="1:8" ht="17.25" customHeight="1" x14ac:dyDescent="0.35">
      <c r="A44" s="52">
        <v>38</v>
      </c>
      <c r="B44" s="49"/>
      <c r="C44" s="1666" t="s">
        <v>790</v>
      </c>
      <c r="D44" s="1668">
        <v>13.25</v>
      </c>
      <c r="E44" s="1668">
        <v>13.25</v>
      </c>
      <c r="F44" s="1667"/>
      <c r="G44" s="1668">
        <f>SUM(E44:F44)</f>
        <v>13.25</v>
      </c>
      <c r="H44" s="57"/>
    </row>
    <row r="45" spans="1:8" ht="17.25" customHeight="1" x14ac:dyDescent="0.35">
      <c r="A45" s="52">
        <v>39</v>
      </c>
      <c r="B45" s="49"/>
      <c r="C45" s="1666" t="s">
        <v>788</v>
      </c>
      <c r="D45" s="1667"/>
      <c r="E45" s="1667"/>
      <c r="F45" s="1667"/>
      <c r="G45" s="1668">
        <f>SUM(E45:F45)</f>
        <v>0</v>
      </c>
      <c r="H45" s="57"/>
    </row>
    <row r="46" spans="1:8" ht="33" customHeight="1" x14ac:dyDescent="0.35">
      <c r="A46" s="52">
        <v>40</v>
      </c>
      <c r="B46" s="49">
        <v>9</v>
      </c>
      <c r="C46" s="1671" t="s">
        <v>292</v>
      </c>
      <c r="D46" s="1665">
        <v>65</v>
      </c>
      <c r="E46" s="1665">
        <v>65</v>
      </c>
      <c r="F46" s="1665"/>
      <c r="G46" s="1665">
        <f>SUM(E46:F46)</f>
        <v>65</v>
      </c>
      <c r="H46" s="57"/>
    </row>
    <row r="47" spans="1:8" ht="17.25" customHeight="1" x14ac:dyDescent="0.3">
      <c r="A47" s="52">
        <v>41</v>
      </c>
      <c r="B47" s="49"/>
      <c r="C47" s="1666" t="s">
        <v>779</v>
      </c>
      <c r="D47" s="1667"/>
      <c r="E47" s="1667"/>
      <c r="F47" s="1667"/>
      <c r="G47" s="1667"/>
      <c r="H47" s="57"/>
    </row>
    <row r="48" spans="1:8" ht="17.25" customHeight="1" x14ac:dyDescent="0.35">
      <c r="A48" s="52">
        <v>42</v>
      </c>
      <c r="B48" s="49"/>
      <c r="C48" s="1666" t="s">
        <v>790</v>
      </c>
      <c r="D48" s="1668">
        <v>63.5</v>
      </c>
      <c r="E48" s="1668">
        <v>63.5</v>
      </c>
      <c r="F48" s="1667"/>
      <c r="G48" s="1668">
        <f>SUM(E48:F48)</f>
        <v>63.5</v>
      </c>
      <c r="H48" s="57"/>
    </row>
    <row r="49" spans="1:8" ht="17.25" customHeight="1" x14ac:dyDescent="0.35">
      <c r="A49" s="52">
        <v>43</v>
      </c>
      <c r="B49" s="49"/>
      <c r="C49" s="1666" t="s">
        <v>788</v>
      </c>
      <c r="D49" s="1668">
        <v>1.5</v>
      </c>
      <c r="E49" s="1668">
        <v>1.5</v>
      </c>
      <c r="F49" s="1667"/>
      <c r="G49" s="1668">
        <f>SUM(E49:F49)</f>
        <v>1.5</v>
      </c>
      <c r="H49" s="57"/>
    </row>
    <row r="50" spans="1:8" ht="21.75" customHeight="1" x14ac:dyDescent="0.35">
      <c r="A50" s="52">
        <v>44</v>
      </c>
      <c r="B50" s="48">
        <v>10</v>
      </c>
      <c r="C50" s="1672" t="s">
        <v>293</v>
      </c>
      <c r="D50" s="17">
        <v>24.25</v>
      </c>
      <c r="E50" s="17">
        <v>23.25</v>
      </c>
      <c r="F50" s="17"/>
      <c r="G50" s="17">
        <f>SUM(E50:F50)</f>
        <v>23.25</v>
      </c>
      <c r="H50" s="57"/>
    </row>
    <row r="51" spans="1:8" ht="17.25" customHeight="1" x14ac:dyDescent="0.3">
      <c r="A51" s="52">
        <v>45</v>
      </c>
      <c r="B51" s="48"/>
      <c r="C51" s="1666" t="s">
        <v>779</v>
      </c>
      <c r="D51" s="1667"/>
      <c r="E51" s="1667"/>
      <c r="F51" s="1667"/>
      <c r="G51" s="1667"/>
      <c r="H51" s="57"/>
    </row>
    <row r="52" spans="1:8" ht="18" customHeight="1" x14ac:dyDescent="0.35">
      <c r="A52" s="52">
        <v>46</v>
      </c>
      <c r="B52" s="48"/>
      <c r="C52" s="1666" t="s">
        <v>788</v>
      </c>
      <c r="D52" s="1668">
        <v>24.25</v>
      </c>
      <c r="E52" s="1668">
        <v>23.25</v>
      </c>
      <c r="F52" s="1667"/>
      <c r="G52" s="1668">
        <f>SUM(E52:F52)</f>
        <v>23.25</v>
      </c>
      <c r="H52" s="1492" t="s">
        <v>827</v>
      </c>
    </row>
    <row r="53" spans="1:8" ht="33" customHeight="1" x14ac:dyDescent="0.2">
      <c r="A53" s="52">
        <v>47</v>
      </c>
      <c r="B53" s="49">
        <v>11</v>
      </c>
      <c r="C53" s="1671" t="s">
        <v>289</v>
      </c>
      <c r="D53" s="17">
        <v>23</v>
      </c>
      <c r="E53" s="17">
        <v>23</v>
      </c>
      <c r="F53" s="17"/>
      <c r="G53" s="17">
        <f>SUM(E53:F53)</f>
        <v>23</v>
      </c>
      <c r="H53" s="57"/>
    </row>
    <row r="54" spans="1:8" ht="17.25" customHeight="1" x14ac:dyDescent="0.2">
      <c r="A54" s="52">
        <v>48</v>
      </c>
      <c r="B54" s="49"/>
      <c r="C54" s="1666" t="s">
        <v>779</v>
      </c>
      <c r="H54" s="57"/>
    </row>
    <row r="55" spans="1:8" ht="17.25" customHeight="1" x14ac:dyDescent="0.35">
      <c r="A55" s="52">
        <v>49</v>
      </c>
      <c r="B55" s="49"/>
      <c r="C55" s="1666" t="s">
        <v>788</v>
      </c>
      <c r="D55" s="1673">
        <v>23</v>
      </c>
      <c r="E55" s="1673">
        <v>23</v>
      </c>
      <c r="G55" s="1668">
        <f>SUM(E55:F55)</f>
        <v>23</v>
      </c>
      <c r="H55" s="57"/>
    </row>
    <row r="56" spans="1:8" s="19" customFormat="1" ht="21.75" customHeight="1" x14ac:dyDescent="0.35">
      <c r="A56" s="52">
        <v>50</v>
      </c>
      <c r="B56" s="48">
        <v>12</v>
      </c>
      <c r="C56" s="1674" t="s">
        <v>636</v>
      </c>
      <c r="D56" s="1665">
        <v>54.5</v>
      </c>
      <c r="E56" s="1665">
        <v>53.5</v>
      </c>
      <c r="F56" s="1665"/>
      <c r="G56" s="1665">
        <f>SUM(E56:F56)</f>
        <v>53.5</v>
      </c>
      <c r="H56" s="56"/>
    </row>
    <row r="57" spans="1:8" s="19" customFormat="1" ht="17.25" customHeight="1" x14ac:dyDescent="0.3">
      <c r="A57" s="52">
        <v>51</v>
      </c>
      <c r="B57" s="48"/>
      <c r="C57" s="1666" t="s">
        <v>779</v>
      </c>
      <c r="D57" s="5"/>
      <c r="E57" s="5"/>
      <c r="F57" s="5"/>
      <c r="G57" s="5"/>
      <c r="H57" s="56"/>
    </row>
    <row r="58" spans="1:8" s="19" customFormat="1" ht="17.25" customHeight="1" x14ac:dyDescent="0.35">
      <c r="A58" s="52">
        <v>52</v>
      </c>
      <c r="B58" s="48"/>
      <c r="C58" s="1666" t="s">
        <v>788</v>
      </c>
      <c r="D58" s="1673">
        <v>54.5</v>
      </c>
      <c r="E58" s="1673">
        <v>53.5</v>
      </c>
      <c r="F58" s="5"/>
      <c r="G58" s="1668">
        <f>SUM(E58:F58)</f>
        <v>53.5</v>
      </c>
      <c r="H58" s="56" t="s">
        <v>822</v>
      </c>
    </row>
    <row r="59" spans="1:8" s="19" customFormat="1" ht="27.75" customHeight="1" x14ac:dyDescent="0.35">
      <c r="A59" s="52">
        <v>53</v>
      </c>
      <c r="B59" s="48">
        <v>13</v>
      </c>
      <c r="C59" s="1674" t="s">
        <v>30</v>
      </c>
      <c r="D59" s="1665">
        <v>53</v>
      </c>
      <c r="E59" s="1665">
        <v>53</v>
      </c>
      <c r="F59" s="1665"/>
      <c r="G59" s="1665">
        <f>SUM(E59:F59)</f>
        <v>53</v>
      </c>
      <c r="H59" s="60"/>
    </row>
    <row r="60" spans="1:8" s="19" customFormat="1" ht="17.25" customHeight="1" x14ac:dyDescent="0.3">
      <c r="A60" s="52">
        <v>54</v>
      </c>
      <c r="B60" s="48"/>
      <c r="C60" s="1666" t="s">
        <v>779</v>
      </c>
      <c r="D60" s="5"/>
      <c r="E60" s="5"/>
      <c r="F60" s="5"/>
      <c r="G60" s="5"/>
      <c r="H60" s="60"/>
    </row>
    <row r="61" spans="1:8" s="19" customFormat="1" ht="17.25" customHeight="1" x14ac:dyDescent="0.35">
      <c r="A61" s="52">
        <v>55</v>
      </c>
      <c r="B61" s="48"/>
      <c r="C61" s="1666" t="s">
        <v>780</v>
      </c>
      <c r="D61" s="1673">
        <v>53</v>
      </c>
      <c r="E61" s="1673">
        <v>53</v>
      </c>
      <c r="F61" s="5"/>
      <c r="G61" s="1668">
        <f>SUM(E61:F61)</f>
        <v>53</v>
      </c>
      <c r="H61" s="60"/>
    </row>
    <row r="62" spans="1:8" ht="27.75" customHeight="1" x14ac:dyDescent="0.35">
      <c r="A62" s="52">
        <v>56</v>
      </c>
      <c r="B62" s="48">
        <v>14</v>
      </c>
      <c r="C62" s="1672" t="s">
        <v>291</v>
      </c>
      <c r="D62" s="1665">
        <v>26</v>
      </c>
      <c r="E62" s="1665">
        <v>26</v>
      </c>
      <c r="F62" s="1665"/>
      <c r="G62" s="1665">
        <f>SUM(E62:F62)</f>
        <v>26</v>
      </c>
      <c r="H62" s="582"/>
    </row>
    <row r="63" spans="1:8" ht="17.25" customHeight="1" x14ac:dyDescent="0.3">
      <c r="A63" s="52">
        <v>57</v>
      </c>
      <c r="B63" s="48"/>
      <c r="C63" s="1666" t="s">
        <v>779</v>
      </c>
      <c r="H63" s="582"/>
    </row>
    <row r="64" spans="1:8" ht="17.25" customHeight="1" x14ac:dyDescent="0.35">
      <c r="A64" s="52">
        <v>58</v>
      </c>
      <c r="B64" s="48"/>
      <c r="C64" s="1666" t="s">
        <v>788</v>
      </c>
      <c r="D64" s="1673">
        <v>26</v>
      </c>
      <c r="E64" s="1673">
        <v>26</v>
      </c>
      <c r="G64" s="1668">
        <f>SUM(E64:F64)</f>
        <v>26</v>
      </c>
      <c r="H64" s="582"/>
    </row>
    <row r="65" spans="1:8" s="19" customFormat="1" ht="21.75" customHeight="1" x14ac:dyDescent="0.35">
      <c r="A65" s="52">
        <v>59</v>
      </c>
      <c r="B65" s="48">
        <v>15</v>
      </c>
      <c r="C65" s="1674" t="s">
        <v>119</v>
      </c>
      <c r="D65" s="1665">
        <v>102</v>
      </c>
      <c r="E65" s="1665">
        <v>102</v>
      </c>
      <c r="F65" s="1665"/>
      <c r="G65" s="1665">
        <f>SUM(E65:F65)</f>
        <v>102</v>
      </c>
      <c r="H65" s="56"/>
    </row>
    <row r="66" spans="1:8" s="19" customFormat="1" ht="17.25" customHeight="1" x14ac:dyDescent="0.3">
      <c r="A66" s="52">
        <v>60</v>
      </c>
      <c r="B66" s="48"/>
      <c r="C66" s="1666" t="s">
        <v>779</v>
      </c>
      <c r="D66" s="5"/>
      <c r="E66" s="5"/>
      <c r="F66" s="5"/>
      <c r="G66" s="5"/>
      <c r="H66" s="56"/>
    </row>
    <row r="67" spans="1:8" s="19" customFormat="1" ht="17.25" customHeight="1" x14ac:dyDescent="0.35">
      <c r="A67" s="52">
        <v>61</v>
      </c>
      <c r="B67" s="48"/>
      <c r="C67" s="1666" t="s">
        <v>788</v>
      </c>
      <c r="D67" s="1673">
        <v>102</v>
      </c>
      <c r="E67" s="1673">
        <v>102</v>
      </c>
      <c r="F67" s="5"/>
      <c r="G67" s="1668">
        <f>SUM(E67:F67)</f>
        <v>102</v>
      </c>
      <c r="H67" s="56"/>
    </row>
    <row r="68" spans="1:8" ht="21.75" customHeight="1" x14ac:dyDescent="0.35">
      <c r="A68" s="52">
        <v>62</v>
      </c>
      <c r="B68" s="48">
        <v>16</v>
      </c>
      <c r="C68" s="1672" t="s">
        <v>220</v>
      </c>
      <c r="D68" s="17">
        <v>53.25</v>
      </c>
      <c r="E68" s="17">
        <v>53.25</v>
      </c>
      <c r="F68" s="17"/>
      <c r="G68" s="17">
        <f>SUM(E68:F68)</f>
        <v>53.25</v>
      </c>
      <c r="H68" s="57"/>
    </row>
    <row r="69" spans="1:8" ht="17.25" customHeight="1" x14ac:dyDescent="0.3">
      <c r="A69" s="52">
        <v>63</v>
      </c>
      <c r="B69" s="48"/>
      <c r="C69" s="1666" t="s">
        <v>779</v>
      </c>
      <c r="H69" s="57"/>
    </row>
    <row r="70" spans="1:8" ht="17.25" customHeight="1" x14ac:dyDescent="0.35">
      <c r="A70" s="52">
        <v>64</v>
      </c>
      <c r="B70" s="48"/>
      <c r="C70" s="1666" t="s">
        <v>790</v>
      </c>
      <c r="D70" s="1673">
        <v>53.25</v>
      </c>
      <c r="E70" s="1673">
        <v>53.25</v>
      </c>
      <c r="G70" s="1668">
        <f>SUM(E70:F70)</f>
        <v>53.25</v>
      </c>
      <c r="H70" s="57"/>
    </row>
    <row r="71" spans="1:8" ht="17.25" customHeight="1" thickBot="1" x14ac:dyDescent="0.4">
      <c r="A71" s="52">
        <v>65</v>
      </c>
      <c r="B71" s="169"/>
      <c r="C71" s="1420" t="s">
        <v>788</v>
      </c>
      <c r="D71" s="176"/>
      <c r="E71" s="176"/>
      <c r="F71" s="176"/>
      <c r="G71" s="1421">
        <f>SUM(E71:F71)</f>
        <v>0</v>
      </c>
      <c r="H71" s="177"/>
    </row>
    <row r="72" spans="1:8" ht="30" customHeight="1" thickTop="1" thickBot="1" x14ac:dyDescent="0.25">
      <c r="A72" s="52">
        <v>66</v>
      </c>
      <c r="B72" s="12"/>
      <c r="C72" s="13" t="s">
        <v>98</v>
      </c>
      <c r="D72" s="135">
        <f>D68+D65+D62+D59+D56+D53+D50+D46+D42+D37+D32+D27+D22+D17+D12+D7</f>
        <v>954.75</v>
      </c>
      <c r="E72" s="135">
        <f>E68+E65+E62+E59+E56+E53+E50+E46+E42+E37+E32+E27+E22+E17+E12+E7</f>
        <v>956.55</v>
      </c>
      <c r="F72" s="135">
        <f t="shared" ref="F72" si="4">F68+F65+F62+F59+F56+F53+F50+F46+F42+F37+F32+F27+F22+F17+F12+F7</f>
        <v>1.85</v>
      </c>
      <c r="G72" s="135">
        <f>G68+G65+G62+G59+G56+G53+G50+G46+G42+G37+G32+G27+G22+G17+G12+G7</f>
        <v>958.4</v>
      </c>
      <c r="H72" s="58"/>
    </row>
    <row r="73" spans="1:8" ht="21.75" customHeight="1" x14ac:dyDescent="0.35">
      <c r="A73" s="52">
        <v>67</v>
      </c>
      <c r="B73" s="48">
        <v>17</v>
      </c>
      <c r="C73" s="1672" t="s">
        <v>158</v>
      </c>
      <c r="D73" s="17">
        <v>200</v>
      </c>
      <c r="E73" s="17">
        <v>200</v>
      </c>
      <c r="F73" s="17"/>
      <c r="G73" s="17">
        <f>SUM(E73:F73)</f>
        <v>200</v>
      </c>
      <c r="H73" s="57"/>
    </row>
    <row r="74" spans="1:8" ht="21.75" customHeight="1" x14ac:dyDescent="0.3">
      <c r="A74" s="52">
        <v>68</v>
      </c>
      <c r="B74" s="48"/>
      <c r="C74" s="1666" t="s">
        <v>779</v>
      </c>
      <c r="H74" s="57"/>
    </row>
    <row r="75" spans="1:8" ht="17.25" customHeight="1" x14ac:dyDescent="0.35">
      <c r="A75" s="52">
        <v>69</v>
      </c>
      <c r="B75" s="48"/>
      <c r="C75" s="1666" t="s">
        <v>789</v>
      </c>
      <c r="D75" s="1673">
        <v>190</v>
      </c>
      <c r="E75" s="1673">
        <v>190</v>
      </c>
      <c r="G75" s="1668">
        <f>SUM(E75:F75)</f>
        <v>190</v>
      </c>
      <c r="H75" s="57"/>
    </row>
    <row r="76" spans="1:8" ht="17.25" customHeight="1" x14ac:dyDescent="0.35">
      <c r="A76" s="52">
        <v>70</v>
      </c>
      <c r="B76" s="48"/>
      <c r="C76" s="1666" t="s">
        <v>788</v>
      </c>
      <c r="D76" s="1673">
        <v>10</v>
      </c>
      <c r="E76" s="1673">
        <v>10</v>
      </c>
      <c r="G76" s="1668">
        <f>SUM(E76:F76)</f>
        <v>10</v>
      </c>
      <c r="H76" s="57"/>
    </row>
    <row r="77" spans="1:8" ht="21.75" customHeight="1" x14ac:dyDescent="0.3">
      <c r="A77" s="52">
        <v>71</v>
      </c>
      <c r="B77" s="48">
        <v>18</v>
      </c>
      <c r="C77" s="1675" t="s">
        <v>99</v>
      </c>
      <c r="D77" s="1"/>
      <c r="E77" s="1"/>
      <c r="F77" s="1"/>
      <c r="G77" s="1"/>
      <c r="H77" s="59" t="s">
        <v>207</v>
      </c>
    </row>
    <row r="78" spans="1:8" ht="21.75" customHeight="1" x14ac:dyDescent="0.2">
      <c r="A78" s="52">
        <v>72</v>
      </c>
      <c r="B78" s="10"/>
      <c r="C78" s="1676" t="s">
        <v>251</v>
      </c>
      <c r="D78" s="17">
        <v>4</v>
      </c>
      <c r="E78" s="17">
        <v>4</v>
      </c>
      <c r="F78" s="17"/>
      <c r="G78" s="17">
        <f>SUM(E78:F78)</f>
        <v>4</v>
      </c>
      <c r="H78" s="59"/>
    </row>
    <row r="79" spans="1:8" ht="17.25" customHeight="1" x14ac:dyDescent="0.2">
      <c r="A79" s="52">
        <v>73</v>
      </c>
      <c r="B79" s="10"/>
      <c r="C79" s="1677" t="s">
        <v>779</v>
      </c>
      <c r="H79" s="59"/>
    </row>
    <row r="80" spans="1:8" ht="17.25" customHeight="1" x14ac:dyDescent="0.35">
      <c r="A80" s="52">
        <v>74</v>
      </c>
      <c r="B80" s="10"/>
      <c r="C80" s="1666" t="s">
        <v>781</v>
      </c>
      <c r="D80" s="1673">
        <v>4</v>
      </c>
      <c r="E80" s="1673">
        <v>4</v>
      </c>
      <c r="G80" s="1668">
        <f>SUM(E80:F80)</f>
        <v>4</v>
      </c>
      <c r="H80" s="59"/>
    </row>
    <row r="81" spans="1:8" s="50" customFormat="1" ht="21.75" customHeight="1" thickBot="1" x14ac:dyDescent="0.25">
      <c r="A81" s="52">
        <v>75</v>
      </c>
      <c r="B81" s="49"/>
      <c r="C81" s="1678" t="s">
        <v>233</v>
      </c>
      <c r="D81" s="1669">
        <v>4</v>
      </c>
      <c r="E81" s="1669">
        <v>4</v>
      </c>
      <c r="F81" s="1669"/>
      <c r="G81" s="1669">
        <f>SUM(E81:F81)</f>
        <v>4</v>
      </c>
      <c r="H81" s="60"/>
    </row>
    <row r="82" spans="1:8" ht="30" customHeight="1" x14ac:dyDescent="0.2">
      <c r="A82" s="52">
        <v>76</v>
      </c>
      <c r="B82" s="165"/>
      <c r="C82" s="166" t="s">
        <v>13</v>
      </c>
      <c r="D82" s="167">
        <f>SUM(D72:D72)+D73+D78+D81</f>
        <v>1162.75</v>
      </c>
      <c r="E82" s="167">
        <f>SUM(E72:E72)+E73+E78+E81</f>
        <v>1164.55</v>
      </c>
      <c r="F82" s="167">
        <f t="shared" ref="F82" si="5">SUM(F72:F72)+F73+F78+F81</f>
        <v>1.85</v>
      </c>
      <c r="G82" s="167">
        <f>SUM(G72:G72)+G73+G78+G81</f>
        <v>1166.4000000000001</v>
      </c>
      <c r="H82" s="168"/>
    </row>
    <row r="83" spans="1:8" ht="16.5" customHeight="1" x14ac:dyDescent="0.2">
      <c r="A83" s="52">
        <v>77</v>
      </c>
      <c r="B83" s="10"/>
      <c r="C83" s="1679" t="s">
        <v>100</v>
      </c>
      <c r="H83" s="57"/>
    </row>
    <row r="84" spans="1:8" ht="16.5" customHeight="1" x14ac:dyDescent="0.2">
      <c r="A84" s="52">
        <v>78</v>
      </c>
      <c r="B84" s="10"/>
      <c r="C84" s="1679" t="s">
        <v>233</v>
      </c>
      <c r="D84" s="1673">
        <f>SUM(D81)</f>
        <v>4</v>
      </c>
      <c r="E84" s="1673">
        <f>SUM(E81)</f>
        <v>4</v>
      </c>
      <c r="F84" s="1673">
        <f t="shared" ref="F84" si="6">SUM(F81)</f>
        <v>0</v>
      </c>
      <c r="G84" s="5">
        <f>SUM(G81)</f>
        <v>4</v>
      </c>
      <c r="H84" s="57"/>
    </row>
    <row r="85" spans="1:8" ht="17.25" x14ac:dyDescent="0.35">
      <c r="A85" s="52">
        <v>79</v>
      </c>
      <c r="B85" s="10"/>
      <c r="C85" s="1679" t="s">
        <v>782</v>
      </c>
      <c r="D85" s="1673">
        <f>D34+D29+D24+D19+D14+D9</f>
        <v>304.5</v>
      </c>
      <c r="E85" s="1673">
        <f>E34+E29+E24+E19+E14+E9</f>
        <v>304.5</v>
      </c>
      <c r="F85" s="1673">
        <f>F34+F29+F24+F19+F14+F9</f>
        <v>1</v>
      </c>
      <c r="G85" s="1668">
        <f>SUM(E85:F85)</f>
        <v>305.5</v>
      </c>
      <c r="H85" s="57"/>
    </row>
    <row r="86" spans="1:8" ht="17.25" x14ac:dyDescent="0.35">
      <c r="A86" s="52">
        <v>80</v>
      </c>
      <c r="B86" s="10"/>
      <c r="C86" s="1679" t="s">
        <v>783</v>
      </c>
      <c r="D86" s="1673">
        <f>D70+D48+D44+D40+D35+D30+D25+D20+D15+D10</f>
        <v>330.5</v>
      </c>
      <c r="E86" s="1673">
        <f>E70+E48+E44+E40+E35+E30+E25+E20+E15+E10</f>
        <v>330.5</v>
      </c>
      <c r="F86" s="1673">
        <f>F70+F48+F44+F40+F35+F30+F25+F20+F15+F10</f>
        <v>0.25</v>
      </c>
      <c r="G86" s="1668">
        <f t="shared" ref="G86:G90" si="7">SUM(E86:F86)</f>
        <v>330.75</v>
      </c>
      <c r="H86" s="57"/>
    </row>
    <row r="87" spans="1:8" ht="17.25" x14ac:dyDescent="0.35">
      <c r="A87" s="52">
        <v>81</v>
      </c>
      <c r="B87" s="10"/>
      <c r="C87" s="1679" t="s">
        <v>784</v>
      </c>
      <c r="D87" s="1673">
        <f>D76+D71+D67+D64+D61+D58+D55+D52+D49+D45+D41+D36+D31+D26+D21+D16+D11</f>
        <v>305.75</v>
      </c>
      <c r="E87" s="1673">
        <f>E76+E71+E67+E64+E61+E58+E55+E52+E49+E45+E41+E36+E31+E26+E21+E16+E11</f>
        <v>303.75</v>
      </c>
      <c r="F87" s="1673">
        <f>F76+F71+F67+F64+F61+F58+F55+F52+F49+F45+F41+F36+F31+F26+F21+F16+F11</f>
        <v>0</v>
      </c>
      <c r="G87" s="1668">
        <f t="shared" si="7"/>
        <v>303.75</v>
      </c>
      <c r="H87" s="57"/>
    </row>
    <row r="88" spans="1:8" ht="17.25" x14ac:dyDescent="0.35">
      <c r="A88" s="52">
        <v>82</v>
      </c>
      <c r="B88" s="10"/>
      <c r="C88" s="1679" t="s">
        <v>785</v>
      </c>
      <c r="D88" s="1680">
        <f>D39</f>
        <v>24</v>
      </c>
      <c r="E88" s="1680">
        <f>E39</f>
        <v>27.8</v>
      </c>
      <c r="F88" s="1680">
        <f>F39</f>
        <v>0.6</v>
      </c>
      <c r="G88" s="1668">
        <f t="shared" si="7"/>
        <v>28.400000000000002</v>
      </c>
      <c r="H88" s="57"/>
    </row>
    <row r="89" spans="1:8" ht="17.25" x14ac:dyDescent="0.35">
      <c r="A89" s="52">
        <v>83</v>
      </c>
      <c r="B89" s="10"/>
      <c r="C89" s="1679" t="s">
        <v>786</v>
      </c>
      <c r="D89" s="1680">
        <f>D75</f>
        <v>190</v>
      </c>
      <c r="E89" s="1680">
        <f>E75</f>
        <v>190</v>
      </c>
      <c r="F89" s="1680">
        <f>F75</f>
        <v>0</v>
      </c>
      <c r="G89" s="1668">
        <f t="shared" si="7"/>
        <v>190</v>
      </c>
      <c r="H89" s="57"/>
    </row>
    <row r="90" spans="1:8" ht="18" thickBot="1" x14ac:dyDescent="0.4">
      <c r="A90" s="52">
        <v>84</v>
      </c>
      <c r="B90" s="12"/>
      <c r="C90" s="51" t="s">
        <v>787</v>
      </c>
      <c r="D90" s="1422">
        <f>D80</f>
        <v>4</v>
      </c>
      <c r="E90" s="1422">
        <f>E80</f>
        <v>4</v>
      </c>
      <c r="F90" s="1422">
        <f>F80</f>
        <v>0</v>
      </c>
      <c r="G90" s="1423">
        <f t="shared" si="7"/>
        <v>4</v>
      </c>
      <c r="H90" s="61"/>
    </row>
    <row r="95" spans="1:8" s="11" customFormat="1" ht="17.25" x14ac:dyDescent="0.3">
      <c r="A95" s="92"/>
      <c r="B95" s="3"/>
      <c r="C95" s="16"/>
      <c r="D95" s="17"/>
      <c r="E95" s="17"/>
      <c r="F95" s="17"/>
      <c r="G95" s="17"/>
      <c r="H95" s="62"/>
    </row>
    <row r="97" spans="1:8" s="11" customFormat="1" ht="17.25" x14ac:dyDescent="0.3">
      <c r="A97" s="92"/>
      <c r="B97" s="3"/>
      <c r="C97" s="16"/>
      <c r="D97" s="17"/>
      <c r="E97" s="17"/>
      <c r="F97" s="17"/>
      <c r="G97" s="17"/>
      <c r="H97" s="62"/>
    </row>
    <row r="100" spans="1:8" s="11" customFormat="1" ht="17.25" x14ac:dyDescent="0.3">
      <c r="A100" s="92"/>
      <c r="B100" s="3"/>
      <c r="C100" s="16"/>
      <c r="D100" s="17"/>
      <c r="E100" s="17"/>
      <c r="F100" s="17"/>
      <c r="G100" s="17"/>
      <c r="H100" s="62"/>
    </row>
    <row r="118" spans="1:11" s="11" customFormat="1" ht="17.25" x14ac:dyDescent="0.3">
      <c r="A118" s="92"/>
      <c r="B118" s="3"/>
      <c r="C118" s="16"/>
      <c r="D118" s="17"/>
      <c r="E118" s="17"/>
      <c r="F118" s="17"/>
      <c r="G118" s="17"/>
      <c r="H118" s="62"/>
    </row>
    <row r="127" spans="1:11" s="5" customFormat="1" x14ac:dyDescent="0.3">
      <c r="A127" s="53"/>
      <c r="B127" s="3"/>
      <c r="C127" s="14"/>
      <c r="D127" s="18"/>
      <c r="E127" s="18"/>
      <c r="H127" s="6"/>
      <c r="I127" s="1"/>
      <c r="J127" s="1"/>
      <c r="K127" s="1"/>
    </row>
    <row r="128" spans="1:11" s="5" customFormat="1" x14ac:dyDescent="0.3">
      <c r="A128" s="53"/>
      <c r="B128" s="3"/>
      <c r="C128" s="14"/>
      <c r="D128" s="18"/>
      <c r="E128" s="18"/>
      <c r="H128" s="6"/>
      <c r="I128" s="1"/>
      <c r="J128" s="1"/>
      <c r="K128" s="1"/>
    </row>
    <row r="129" spans="1:11" s="5" customFormat="1" x14ac:dyDescent="0.3">
      <c r="A129" s="53"/>
      <c r="B129" s="3"/>
      <c r="C129" s="14"/>
      <c r="D129" s="18"/>
      <c r="E129" s="18"/>
      <c r="H129" s="6"/>
      <c r="I129" s="1"/>
      <c r="J129" s="1"/>
      <c r="K129" s="1"/>
    </row>
    <row r="130" spans="1:11" s="5" customFormat="1" x14ac:dyDescent="0.3">
      <c r="A130" s="53"/>
      <c r="B130" s="3"/>
      <c r="C130" s="14"/>
      <c r="D130" s="18"/>
      <c r="E130" s="18"/>
      <c r="H130" s="6"/>
      <c r="I130" s="1"/>
      <c r="J130" s="1"/>
      <c r="K130" s="1"/>
    </row>
    <row r="131" spans="1:11" s="5" customFormat="1" x14ac:dyDescent="0.3">
      <c r="A131" s="53"/>
      <c r="B131" s="3"/>
      <c r="C131" s="14"/>
      <c r="D131" s="18"/>
      <c r="E131" s="18"/>
      <c r="H131" s="6"/>
      <c r="I131" s="1"/>
      <c r="J131" s="1"/>
      <c r="K131" s="1"/>
    </row>
    <row r="132" spans="1:11" s="5" customFormat="1" x14ac:dyDescent="0.3">
      <c r="A132" s="53"/>
      <c r="B132" s="3"/>
      <c r="C132" s="14"/>
      <c r="D132" s="18"/>
      <c r="E132" s="18"/>
      <c r="H132" s="6"/>
      <c r="I132" s="1"/>
      <c r="J132" s="1"/>
      <c r="K132" s="1"/>
    </row>
    <row r="133" spans="1:11" s="5" customFormat="1" x14ac:dyDescent="0.3">
      <c r="A133" s="53"/>
      <c r="B133" s="3"/>
      <c r="C133" s="14"/>
      <c r="D133" s="18"/>
      <c r="E133" s="18"/>
      <c r="H133" s="6"/>
      <c r="I133" s="1"/>
      <c r="J133" s="1"/>
      <c r="K133" s="1"/>
    </row>
    <row r="134" spans="1:11" s="5" customFormat="1" x14ac:dyDescent="0.3">
      <c r="A134" s="53"/>
      <c r="B134" s="3"/>
      <c r="C134" s="14"/>
      <c r="D134" s="18"/>
      <c r="E134" s="18"/>
      <c r="H134" s="6"/>
      <c r="I134" s="1"/>
      <c r="J134" s="1"/>
      <c r="K134" s="1"/>
    </row>
  </sheetData>
  <mergeCells count="4">
    <mergeCell ref="B1:K1"/>
    <mergeCell ref="B2:D2"/>
    <mergeCell ref="C3:H3"/>
    <mergeCell ref="B4:H4"/>
  </mergeCells>
  <printOptions horizontalCentered="1"/>
  <pageMargins left="0.19685039370078741" right="0.19685039370078741" top="0.59055118110236227" bottom="0.59055118110236227" header="0.51181102362204722" footer="0.51181102362204722"/>
  <pageSetup paperSize="9" scale="72" orientation="portrait" r:id="rId1"/>
  <headerFooter alignWithMargins="0">
    <oddFooter>&amp;C- &amp;P -</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pageSetUpPr fitToPage="1"/>
  </sheetPr>
  <dimension ref="A1:R29"/>
  <sheetViews>
    <sheetView view="pageBreakPreview" topLeftCell="H1" zoomScaleNormal="100" workbookViewId="0">
      <selection activeCell="A7" sqref="A7:R23"/>
    </sheetView>
  </sheetViews>
  <sheetFormatPr defaultColWidth="10.42578125" defaultRowHeight="16.5" x14ac:dyDescent="0.3"/>
  <cols>
    <col min="1" max="1" width="3.7109375" style="1725" customWidth="1"/>
    <col min="2" max="3" width="5.7109375" style="1776" customWidth="1"/>
    <col min="4" max="4" width="51.7109375" style="1775" customWidth="1"/>
    <col min="5" max="5" width="19.7109375" style="1777" customWidth="1"/>
    <col min="6" max="6" width="3" style="1724" customWidth="1"/>
    <col min="7" max="12" width="13.7109375" style="1724" customWidth="1"/>
    <col min="13" max="13" width="15.7109375" style="1724" customWidth="1"/>
    <col min="14" max="17" width="13.7109375" style="1724" customWidth="1"/>
    <col min="18" max="18" width="15.7109375" style="1724" customWidth="1"/>
    <col min="19" max="16384" width="10.42578125" style="1724"/>
  </cols>
  <sheetData>
    <row r="1" spans="1:18" ht="18.75" customHeight="1" x14ac:dyDescent="0.3">
      <c r="B1" s="2075" t="s">
        <v>875</v>
      </c>
      <c r="C1" s="2075"/>
      <c r="D1" s="2075"/>
      <c r="E1" s="2075"/>
      <c r="F1" s="2075"/>
      <c r="G1" s="2075"/>
      <c r="H1" s="2075"/>
      <c r="I1" s="2075"/>
      <c r="J1" s="2075"/>
      <c r="K1" s="2075"/>
    </row>
    <row r="2" spans="1:18" x14ac:dyDescent="0.3">
      <c r="A2" s="1723"/>
      <c r="B2" s="2073" t="s">
        <v>940</v>
      </c>
      <c r="C2" s="2073"/>
      <c r="D2" s="2073"/>
      <c r="E2" s="2073"/>
      <c r="F2" s="2073"/>
      <c r="G2" s="2073"/>
      <c r="H2" s="2073"/>
      <c r="I2" s="2073"/>
      <c r="J2" s="2073"/>
      <c r="K2" s="2073"/>
      <c r="L2" s="2073"/>
      <c r="M2" s="2073"/>
      <c r="N2" s="19"/>
      <c r="O2" s="19"/>
      <c r="P2" s="19"/>
      <c r="Q2" s="19"/>
      <c r="R2" s="19"/>
    </row>
    <row r="3" spans="1:18" ht="24.75" customHeight="1" x14ac:dyDescent="0.35">
      <c r="B3" s="2074" t="s">
        <v>94</v>
      </c>
      <c r="C3" s="2074"/>
      <c r="D3" s="2074"/>
      <c r="E3" s="2074"/>
      <c r="F3" s="2074"/>
      <c r="G3" s="2074"/>
      <c r="H3" s="2074"/>
      <c r="I3" s="2074"/>
      <c r="J3" s="2074"/>
      <c r="K3" s="2074"/>
      <c r="L3" s="2074"/>
      <c r="M3" s="2074"/>
      <c r="N3" s="2074"/>
      <c r="O3" s="2074"/>
      <c r="P3" s="2074"/>
      <c r="Q3" s="2074"/>
      <c r="R3" s="2074"/>
    </row>
    <row r="4" spans="1:18" ht="24.75" customHeight="1" x14ac:dyDescent="0.35">
      <c r="B4" s="2074" t="s">
        <v>941</v>
      </c>
      <c r="C4" s="2074"/>
      <c r="D4" s="2074"/>
      <c r="E4" s="2074"/>
      <c r="F4" s="2074"/>
      <c r="G4" s="2074"/>
      <c r="H4" s="2074"/>
      <c r="I4" s="2074"/>
      <c r="J4" s="2074"/>
      <c r="K4" s="2074"/>
      <c r="L4" s="2074"/>
      <c r="M4" s="2074"/>
      <c r="N4" s="2074"/>
      <c r="O4" s="2074"/>
      <c r="P4" s="2074"/>
      <c r="Q4" s="2074"/>
      <c r="R4" s="2074"/>
    </row>
    <row r="5" spans="1:18" ht="24.75" customHeight="1" x14ac:dyDescent="0.35">
      <c r="B5" s="2074" t="s">
        <v>942</v>
      </c>
      <c r="C5" s="2074"/>
      <c r="D5" s="2074"/>
      <c r="E5" s="2074"/>
      <c r="F5" s="2074"/>
      <c r="G5" s="2074"/>
      <c r="H5" s="2074"/>
      <c r="I5" s="2074"/>
      <c r="J5" s="2074"/>
      <c r="K5" s="2074"/>
      <c r="L5" s="2074"/>
      <c r="M5" s="2074"/>
      <c r="N5" s="2074"/>
      <c r="O5" s="2074"/>
      <c r="P5" s="2074"/>
      <c r="Q5" s="2074"/>
      <c r="R5" s="2074"/>
    </row>
    <row r="6" spans="1:18" s="1728" customFormat="1" ht="15" x14ac:dyDescent="0.3">
      <c r="A6" s="1725"/>
      <c r="B6" s="1725"/>
      <c r="C6" s="1725"/>
      <c r="D6" s="1726"/>
      <c r="E6" s="1727"/>
      <c r="N6" s="2053"/>
      <c r="O6" s="2053"/>
      <c r="P6" s="2053"/>
      <c r="Q6" s="2053"/>
      <c r="R6" s="2053"/>
    </row>
    <row r="7" spans="1:18" s="1725" customFormat="1" ht="15.75" thickBot="1" x14ac:dyDescent="0.35">
      <c r="B7" s="1725" t="s">
        <v>943</v>
      </c>
      <c r="C7" s="1725" t="s">
        <v>3</v>
      </c>
      <c r="D7" s="1729" t="s">
        <v>2</v>
      </c>
      <c r="E7" s="1727" t="s">
        <v>4</v>
      </c>
      <c r="G7" s="1725" t="s">
        <v>5</v>
      </c>
      <c r="H7" s="1725" t="s">
        <v>15</v>
      </c>
      <c r="I7" s="1725" t="s">
        <v>16</v>
      </c>
      <c r="J7" s="1725" t="s">
        <v>17</v>
      </c>
      <c r="K7" s="1725" t="s">
        <v>32</v>
      </c>
      <c r="L7" s="1725" t="s">
        <v>28</v>
      </c>
      <c r="M7" s="1725" t="s">
        <v>23</v>
      </c>
      <c r="N7" s="1725" t="s">
        <v>23</v>
      </c>
      <c r="O7" s="1725" t="s">
        <v>34</v>
      </c>
      <c r="P7" s="1725" t="s">
        <v>122</v>
      </c>
      <c r="Q7" s="1725" t="s">
        <v>123</v>
      </c>
      <c r="R7" s="1725" t="s">
        <v>124</v>
      </c>
    </row>
    <row r="8" spans="1:18" s="1732" customFormat="1" ht="24.75" customHeight="1" thickBot="1" x14ac:dyDescent="0.25">
      <c r="A8" s="1730"/>
      <c r="B8" s="2068" t="s">
        <v>18</v>
      </c>
      <c r="C8" s="2069" t="s">
        <v>19</v>
      </c>
      <c r="D8" s="2070" t="s">
        <v>944</v>
      </c>
      <c r="E8" s="2071" t="s">
        <v>945</v>
      </c>
      <c r="F8" s="1731"/>
      <c r="G8" s="2072" t="s">
        <v>946</v>
      </c>
      <c r="H8" s="2072"/>
      <c r="I8" s="2072"/>
      <c r="J8" s="2072"/>
      <c r="K8" s="2072"/>
      <c r="L8" s="2072"/>
      <c r="M8" s="2072"/>
      <c r="N8" s="2056" t="s">
        <v>947</v>
      </c>
      <c r="O8" s="2057"/>
      <c r="P8" s="2057"/>
      <c r="Q8" s="2058"/>
      <c r="R8" s="2062" t="s">
        <v>948</v>
      </c>
    </row>
    <row r="9" spans="1:18" s="1732" customFormat="1" ht="24.75" customHeight="1" thickBot="1" x14ac:dyDescent="0.25">
      <c r="A9" s="1730"/>
      <c r="B9" s="2068"/>
      <c r="C9" s="2069"/>
      <c r="D9" s="2070"/>
      <c r="E9" s="2071"/>
      <c r="F9" s="1733"/>
      <c r="G9" s="2063" t="s">
        <v>949</v>
      </c>
      <c r="H9" s="2064" t="s">
        <v>950</v>
      </c>
      <c r="I9" s="2065"/>
      <c r="J9" s="2065"/>
      <c r="K9" s="2066"/>
      <c r="L9" s="1734"/>
      <c r="M9" s="2067" t="s">
        <v>951</v>
      </c>
      <c r="N9" s="2059"/>
      <c r="O9" s="2060"/>
      <c r="P9" s="2060"/>
      <c r="Q9" s="2061"/>
      <c r="R9" s="2062"/>
    </row>
    <row r="10" spans="1:18" s="1732" customFormat="1" ht="60.75" customHeight="1" thickBot="1" x14ac:dyDescent="0.25">
      <c r="A10" s="1730"/>
      <c r="B10" s="2068"/>
      <c r="C10" s="2069"/>
      <c r="D10" s="2070"/>
      <c r="E10" s="2071"/>
      <c r="F10" s="1733"/>
      <c r="G10" s="2063"/>
      <c r="H10" s="2064"/>
      <c r="I10" s="1735" t="s">
        <v>404</v>
      </c>
      <c r="J10" s="1735" t="s">
        <v>710</v>
      </c>
      <c r="K10" s="1735" t="s">
        <v>514</v>
      </c>
      <c r="L10" s="1735" t="s">
        <v>952</v>
      </c>
      <c r="M10" s="2067"/>
      <c r="N10" s="1736" t="s">
        <v>404</v>
      </c>
      <c r="O10" s="1736" t="s">
        <v>710</v>
      </c>
      <c r="P10" s="1737" t="s">
        <v>953</v>
      </c>
      <c r="Q10" s="1736" t="s">
        <v>952</v>
      </c>
      <c r="R10" s="2062"/>
    </row>
    <row r="11" spans="1:18" s="1732" customFormat="1" ht="33" customHeight="1" x14ac:dyDescent="0.35">
      <c r="A11" s="1738">
        <v>1</v>
      </c>
      <c r="B11" s="1739">
        <v>18</v>
      </c>
      <c r="C11" s="1740" t="s">
        <v>14</v>
      </c>
      <c r="D11" s="1741"/>
      <c r="E11" s="1742"/>
      <c r="G11" s="1743"/>
      <c r="H11" s="1744"/>
      <c r="I11" s="1745"/>
      <c r="J11" s="1745"/>
      <c r="K11" s="1745"/>
      <c r="L11" s="1745"/>
      <c r="M11" s="1746"/>
      <c r="N11" s="1747"/>
      <c r="O11" s="1747"/>
      <c r="P11" s="1747"/>
      <c r="Q11" s="1747"/>
      <c r="R11" s="1748"/>
    </row>
    <row r="12" spans="1:18" s="1732" customFormat="1" ht="33" customHeight="1" x14ac:dyDescent="0.3">
      <c r="A12" s="1738">
        <v>2</v>
      </c>
      <c r="B12" s="1749"/>
      <c r="C12" s="1750">
        <v>1</v>
      </c>
      <c r="D12" s="215" t="s">
        <v>389</v>
      </c>
      <c r="E12" s="1751" t="s">
        <v>954</v>
      </c>
      <c r="F12" s="1752"/>
      <c r="G12" s="1753">
        <f t="shared" ref="G12:G21" si="0">+R12-M12-H12</f>
        <v>1252</v>
      </c>
      <c r="H12" s="1754"/>
      <c r="I12" s="1755">
        <v>74087</v>
      </c>
      <c r="J12" s="1755">
        <v>5911</v>
      </c>
      <c r="K12" s="1755"/>
      <c r="L12" s="1755"/>
      <c r="M12" s="1756">
        <f>SUM(I12:L12)</f>
        <v>79998</v>
      </c>
      <c r="N12" s="1755">
        <v>21668</v>
      </c>
      <c r="O12" s="1755">
        <v>35392</v>
      </c>
      <c r="P12" s="1755">
        <v>24190</v>
      </c>
      <c r="Q12" s="1755"/>
      <c r="R12" s="1757">
        <f>SUM(N12:Q12)</f>
        <v>81250</v>
      </c>
    </row>
    <row r="13" spans="1:18" ht="54" customHeight="1" x14ac:dyDescent="0.3">
      <c r="A13" s="1738">
        <v>3</v>
      </c>
      <c r="B13" s="1758"/>
      <c r="C13" s="1750">
        <v>16</v>
      </c>
      <c r="D13" s="272" t="s">
        <v>405</v>
      </c>
      <c r="E13" s="1759" t="s">
        <v>955</v>
      </c>
      <c r="F13" s="1760"/>
      <c r="G13" s="1761">
        <f t="shared" si="0"/>
        <v>6042</v>
      </c>
      <c r="H13" s="1762"/>
      <c r="I13" s="1763"/>
      <c r="J13" s="1763">
        <v>2879</v>
      </c>
      <c r="K13" s="1763">
        <v>8453</v>
      </c>
      <c r="L13" s="1763">
        <v>9636</v>
      </c>
      <c r="M13" s="1756">
        <f t="shared" ref="M13:M21" si="1">SUM(I13:L13)</f>
        <v>20968</v>
      </c>
      <c r="N13" s="1763">
        <v>3451</v>
      </c>
      <c r="O13" s="1763">
        <v>9071</v>
      </c>
      <c r="P13" s="1763">
        <v>14488</v>
      </c>
      <c r="Q13" s="1763"/>
      <c r="R13" s="1757">
        <f t="shared" ref="R13:R21" si="2">SUM(N13:Q13)</f>
        <v>27010</v>
      </c>
    </row>
    <row r="14" spans="1:18" s="1732" customFormat="1" ht="82.5" x14ac:dyDescent="0.2">
      <c r="A14" s="1738">
        <v>4</v>
      </c>
      <c r="B14" s="1758"/>
      <c r="C14" s="1750">
        <v>17</v>
      </c>
      <c r="D14" s="272" t="s">
        <v>406</v>
      </c>
      <c r="E14" s="1759" t="s">
        <v>955</v>
      </c>
      <c r="F14" s="1760"/>
      <c r="G14" s="1761">
        <f t="shared" si="0"/>
        <v>5383</v>
      </c>
      <c r="H14" s="1762"/>
      <c r="I14" s="1763"/>
      <c r="J14" s="1763">
        <v>2948</v>
      </c>
      <c r="K14" s="1763">
        <v>6452</v>
      </c>
      <c r="L14" s="1763">
        <v>10532</v>
      </c>
      <c r="M14" s="1756">
        <f t="shared" si="1"/>
        <v>19932</v>
      </c>
      <c r="N14" s="1763">
        <v>3651</v>
      </c>
      <c r="O14" s="1763">
        <v>8037</v>
      </c>
      <c r="P14" s="1763">
        <v>13627</v>
      </c>
      <c r="Q14" s="1763"/>
      <c r="R14" s="1757">
        <f t="shared" si="2"/>
        <v>25315</v>
      </c>
    </row>
    <row r="15" spans="1:18" s="1732" customFormat="1" ht="24.95" customHeight="1" x14ac:dyDescent="0.3">
      <c r="A15" s="1738">
        <v>5</v>
      </c>
      <c r="B15" s="1758"/>
      <c r="C15" s="1764">
        <v>18</v>
      </c>
      <c r="D15" s="121" t="s">
        <v>407</v>
      </c>
      <c r="E15" s="1751" t="s">
        <v>956</v>
      </c>
      <c r="F15" s="1765"/>
      <c r="G15" s="1761">
        <f t="shared" si="0"/>
        <v>3570</v>
      </c>
      <c r="H15" s="1766"/>
      <c r="I15" s="1755"/>
      <c r="J15" s="1766">
        <f>10100+6183</f>
        <v>16283</v>
      </c>
      <c r="K15" s="1766">
        <f>19900-6183</f>
        <v>13717</v>
      </c>
      <c r="L15" s="1755">
        <f>27120+10710</f>
        <v>37830</v>
      </c>
      <c r="M15" s="1756">
        <f t="shared" si="1"/>
        <v>67830</v>
      </c>
      <c r="N15" s="1755"/>
      <c r="O15" s="1755">
        <f>1958+12196</f>
        <v>14154</v>
      </c>
      <c r="P15" s="1755">
        <f>32130+10836</f>
        <v>42966</v>
      </c>
      <c r="Q15" s="1766">
        <f>14280</f>
        <v>14280</v>
      </c>
      <c r="R15" s="1757">
        <f t="shared" si="2"/>
        <v>71400</v>
      </c>
    </row>
    <row r="16" spans="1:18" ht="24.95" customHeight="1" x14ac:dyDescent="0.3">
      <c r="A16" s="1738">
        <v>6</v>
      </c>
      <c r="B16" s="1799"/>
      <c r="C16" s="1800">
        <v>19</v>
      </c>
      <c r="D16" s="1801" t="s">
        <v>408</v>
      </c>
      <c r="E16" s="1759" t="s">
        <v>957</v>
      </c>
      <c r="F16" s="1802"/>
      <c r="G16" s="1797">
        <f t="shared" si="0"/>
        <v>4088</v>
      </c>
      <c r="H16" s="1798"/>
      <c r="I16" s="1763"/>
      <c r="J16" s="1768">
        <v>11500</v>
      </c>
      <c r="K16" s="1768">
        <v>16142</v>
      </c>
      <c r="L16" s="1768">
        <v>50035</v>
      </c>
      <c r="M16" s="1803">
        <f t="shared" si="1"/>
        <v>77677</v>
      </c>
      <c r="N16" s="1763"/>
      <c r="O16" s="1768">
        <f>476+8206</f>
        <v>8682</v>
      </c>
      <c r="P16" s="1768">
        <f>11759+24530</f>
        <v>36289</v>
      </c>
      <c r="Q16" s="1768">
        <v>36794</v>
      </c>
      <c r="R16" s="1804">
        <f t="shared" si="2"/>
        <v>81765</v>
      </c>
    </row>
    <row r="17" spans="1:18" ht="36.75" customHeight="1" x14ac:dyDescent="0.3">
      <c r="A17" s="1738">
        <v>7</v>
      </c>
      <c r="B17" s="1805"/>
      <c r="C17" s="1811">
        <v>23</v>
      </c>
      <c r="D17" s="688" t="s">
        <v>518</v>
      </c>
      <c r="E17" s="1807" t="s">
        <v>1021</v>
      </c>
      <c r="F17" s="1802"/>
      <c r="G17" s="1753">
        <f t="shared" si="0"/>
        <v>0</v>
      </c>
      <c r="H17" s="1806">
        <v>27207</v>
      </c>
      <c r="I17" s="1806"/>
      <c r="J17" s="1806"/>
      <c r="K17" s="1806">
        <f>227212-27207</f>
        <v>200005</v>
      </c>
      <c r="L17" s="1806"/>
      <c r="M17" s="1803">
        <f t="shared" si="1"/>
        <v>200005</v>
      </c>
      <c r="N17" s="1762"/>
      <c r="O17" s="1806"/>
      <c r="P17" s="1806">
        <v>227212</v>
      </c>
      <c r="Q17" s="1806"/>
      <c r="R17" s="1804">
        <f t="shared" si="2"/>
        <v>227212</v>
      </c>
    </row>
    <row r="18" spans="1:18" ht="49.5" customHeight="1" x14ac:dyDescent="0.3">
      <c r="A18" s="1738">
        <v>8</v>
      </c>
      <c r="B18" s="1808"/>
      <c r="C18" s="1750">
        <v>46</v>
      </c>
      <c r="D18" s="688" t="s">
        <v>1022</v>
      </c>
      <c r="E18" s="1809" t="s">
        <v>1021</v>
      </c>
      <c r="F18" s="1767"/>
      <c r="G18" s="1797">
        <f t="shared" si="0"/>
        <v>80296</v>
      </c>
      <c r="H18" s="1766"/>
      <c r="I18" s="1766"/>
      <c r="J18" s="1766"/>
      <c r="K18" s="1766">
        <v>1416024</v>
      </c>
      <c r="L18" s="1766"/>
      <c r="M18" s="1803">
        <f t="shared" si="1"/>
        <v>1416024</v>
      </c>
      <c r="N18" s="1810"/>
      <c r="O18" s="1766"/>
      <c r="P18" s="1766">
        <v>1416024</v>
      </c>
      <c r="Q18" s="1766">
        <v>80296</v>
      </c>
      <c r="R18" s="1804">
        <f t="shared" si="2"/>
        <v>1496320</v>
      </c>
    </row>
    <row r="19" spans="1:18" ht="34.5" customHeight="1" x14ac:dyDescent="0.3">
      <c r="A19" s="1738">
        <v>9</v>
      </c>
      <c r="B19" s="1808"/>
      <c r="C19" s="1750">
        <v>48</v>
      </c>
      <c r="D19" s="688" t="s">
        <v>1024</v>
      </c>
      <c r="E19" s="1809" t="s">
        <v>1021</v>
      </c>
      <c r="F19" s="1767"/>
      <c r="G19" s="1753">
        <f t="shared" si="0"/>
        <v>0</v>
      </c>
      <c r="H19" s="1766"/>
      <c r="I19" s="1766"/>
      <c r="J19" s="1766"/>
      <c r="K19" s="1766">
        <v>265801</v>
      </c>
      <c r="L19" s="1766"/>
      <c r="M19" s="1803">
        <f t="shared" si="1"/>
        <v>265801</v>
      </c>
      <c r="N19" s="1810"/>
      <c r="O19" s="1766"/>
      <c r="P19" s="1766">
        <f>10350+255451</f>
        <v>265801</v>
      </c>
      <c r="Q19" s="1766"/>
      <c r="R19" s="1804">
        <f t="shared" si="2"/>
        <v>265801</v>
      </c>
    </row>
    <row r="20" spans="1:18" ht="50.25" customHeight="1" x14ac:dyDescent="0.3">
      <c r="A20" s="1738">
        <v>10</v>
      </c>
      <c r="B20" s="1808"/>
      <c r="C20" s="1750">
        <v>49</v>
      </c>
      <c r="D20" s="688" t="s">
        <v>1025</v>
      </c>
      <c r="E20" s="1809" t="s">
        <v>1021</v>
      </c>
      <c r="F20" s="1767"/>
      <c r="G20" s="1797">
        <f t="shared" si="0"/>
        <v>0</v>
      </c>
      <c r="H20" s="1766"/>
      <c r="I20" s="1766"/>
      <c r="J20" s="1766"/>
      <c r="K20" s="1766">
        <v>232172</v>
      </c>
      <c r="L20" s="1766"/>
      <c r="M20" s="1803">
        <f t="shared" si="1"/>
        <v>232172</v>
      </c>
      <c r="N20" s="1810"/>
      <c r="O20" s="1766"/>
      <c r="P20" s="1766">
        <f>8060+224112</f>
        <v>232172</v>
      </c>
      <c r="Q20" s="1766"/>
      <c r="R20" s="1804">
        <f t="shared" si="2"/>
        <v>232172</v>
      </c>
    </row>
    <row r="21" spans="1:18" ht="38.25" customHeight="1" thickBot="1" x14ac:dyDescent="0.35">
      <c r="A21" s="1738">
        <v>11</v>
      </c>
      <c r="B21" s="1808"/>
      <c r="C21" s="1750">
        <v>50</v>
      </c>
      <c r="D21" s="688" t="s">
        <v>1026</v>
      </c>
      <c r="E21" s="1809" t="s">
        <v>1027</v>
      </c>
      <c r="F21" s="1767"/>
      <c r="G21" s="1797">
        <f t="shared" si="0"/>
        <v>0</v>
      </c>
      <c r="H21" s="1766"/>
      <c r="I21" s="1766"/>
      <c r="J21" s="1766"/>
      <c r="K21" s="1766">
        <f>1905+89059</f>
        <v>90964</v>
      </c>
      <c r="L21" s="1766"/>
      <c r="M21" s="1803">
        <f t="shared" si="1"/>
        <v>90964</v>
      </c>
      <c r="N21" s="1810"/>
      <c r="O21" s="1766"/>
      <c r="P21" s="1766">
        <v>90964</v>
      </c>
      <c r="Q21" s="1766"/>
      <c r="R21" s="1804">
        <f t="shared" si="2"/>
        <v>90964</v>
      </c>
    </row>
    <row r="22" spans="1:18" ht="33" customHeight="1" thickBot="1" x14ac:dyDescent="0.35">
      <c r="A22" s="1738">
        <v>12</v>
      </c>
      <c r="B22" s="2054" t="s">
        <v>101</v>
      </c>
      <c r="C22" s="2054"/>
      <c r="D22" s="2054"/>
      <c r="E22" s="2054"/>
      <c r="F22" s="1769"/>
      <c r="G22" s="1770">
        <f t="shared" ref="G22:R22" si="3">SUM(G12:G16)</f>
        <v>20335</v>
      </c>
      <c r="H22" s="1771">
        <f t="shared" si="3"/>
        <v>0</v>
      </c>
      <c r="I22" s="1771">
        <f t="shared" si="3"/>
        <v>74087</v>
      </c>
      <c r="J22" s="1771">
        <f t="shared" si="3"/>
        <v>39521</v>
      </c>
      <c r="K22" s="1771">
        <f t="shared" si="3"/>
        <v>44764</v>
      </c>
      <c r="L22" s="1771">
        <f t="shared" si="3"/>
        <v>108033</v>
      </c>
      <c r="M22" s="1772">
        <f t="shared" si="3"/>
        <v>266405</v>
      </c>
      <c r="N22" s="1773">
        <f t="shared" si="3"/>
        <v>28770</v>
      </c>
      <c r="O22" s="1771">
        <f t="shared" si="3"/>
        <v>75336</v>
      </c>
      <c r="P22" s="1771">
        <f>SUM(P12:P18)</f>
        <v>1774796</v>
      </c>
      <c r="Q22" s="1771">
        <f t="shared" si="3"/>
        <v>51074</v>
      </c>
      <c r="R22" s="1774">
        <f t="shared" si="3"/>
        <v>286740</v>
      </c>
    </row>
    <row r="23" spans="1:18" ht="24.75" customHeight="1" x14ac:dyDescent="0.3">
      <c r="B23" s="2055" t="s">
        <v>958</v>
      </c>
      <c r="C23" s="2055"/>
      <c r="D23" s="2055"/>
      <c r="E23" s="2055"/>
      <c r="F23" s="2055"/>
      <c r="G23" s="2055"/>
      <c r="H23" s="2055"/>
      <c r="I23" s="2055"/>
      <c r="J23" s="2055"/>
      <c r="K23" s="2055"/>
      <c r="L23" s="2055"/>
      <c r="M23" s="2055"/>
      <c r="N23" s="2055"/>
      <c r="O23" s="2055"/>
      <c r="P23" s="2055"/>
      <c r="Q23" s="2055"/>
      <c r="R23" s="2055"/>
    </row>
    <row r="24" spans="1:18" s="1725" customFormat="1" ht="24.75" customHeight="1" x14ac:dyDescent="0.3">
      <c r="B24" s="1776"/>
      <c r="C24" s="1776"/>
      <c r="D24" s="1775"/>
      <c r="E24" s="1777"/>
      <c r="F24" s="1724"/>
      <c r="G24" s="1724"/>
      <c r="H24" s="1724"/>
      <c r="I24" s="1724"/>
      <c r="J24" s="1724"/>
      <c r="K24" s="1724"/>
      <c r="L24" s="1724"/>
      <c r="M24" s="1724"/>
      <c r="N24" s="1724"/>
      <c r="O24" s="1724"/>
      <c r="P24" s="1724"/>
      <c r="Q24" s="1724"/>
      <c r="R24" s="1724"/>
    </row>
    <row r="25" spans="1:18" s="1725" customFormat="1" ht="24.75" customHeight="1" x14ac:dyDescent="0.3">
      <c r="B25" s="1776"/>
      <c r="C25" s="1776"/>
      <c r="D25" s="1775"/>
      <c r="E25" s="1777"/>
      <c r="F25" s="1724"/>
      <c r="G25" s="1724"/>
      <c r="H25" s="1724"/>
      <c r="I25" s="1724"/>
      <c r="J25" s="1724"/>
      <c r="K25" s="1724"/>
      <c r="L25" s="1724"/>
      <c r="M25" s="1724"/>
      <c r="N25" s="1724"/>
      <c r="O25" s="1724"/>
      <c r="P25" s="1724"/>
      <c r="Q25" s="1724"/>
      <c r="R25" s="1724"/>
    </row>
    <row r="26" spans="1:18" s="1725" customFormat="1" ht="24.75" customHeight="1" x14ac:dyDescent="0.3">
      <c r="B26" s="1776"/>
      <c r="C26" s="1776"/>
      <c r="D26" s="1775"/>
      <c r="E26" s="1777"/>
      <c r="F26" s="1724"/>
      <c r="G26" s="1724"/>
      <c r="H26" s="1724"/>
      <c r="I26" s="1724"/>
      <c r="J26" s="1724"/>
      <c r="K26" s="1724"/>
      <c r="L26" s="1724"/>
      <c r="M26" s="1724"/>
      <c r="N26" s="1724"/>
      <c r="O26" s="1724"/>
      <c r="P26" s="1724"/>
      <c r="Q26" s="1724"/>
      <c r="R26" s="1724"/>
    </row>
    <row r="27" spans="1:18" s="1725" customFormat="1" ht="24.75" customHeight="1" x14ac:dyDescent="0.3">
      <c r="B27" s="1776"/>
      <c r="C27" s="1776"/>
      <c r="D27" s="1775"/>
      <c r="E27" s="1777"/>
      <c r="F27" s="1724"/>
      <c r="G27" s="1724"/>
      <c r="H27" s="1724"/>
      <c r="I27" s="1724"/>
      <c r="J27" s="1724"/>
      <c r="K27" s="1724"/>
      <c r="L27" s="1724"/>
      <c r="M27" s="1724"/>
      <c r="N27" s="1724"/>
      <c r="O27" s="1724"/>
      <c r="P27" s="1724"/>
      <c r="Q27" s="1724"/>
      <c r="R27" s="1724"/>
    </row>
    <row r="28" spans="1:18" s="1725" customFormat="1" ht="24.75" customHeight="1" x14ac:dyDescent="0.3">
      <c r="B28" s="1776"/>
      <c r="C28" s="1776"/>
      <c r="D28" s="1775"/>
      <c r="E28" s="1777"/>
      <c r="F28" s="1724"/>
      <c r="G28" s="1724"/>
      <c r="H28" s="1724"/>
      <c r="I28" s="1724"/>
      <c r="J28" s="1724"/>
      <c r="K28" s="1724"/>
      <c r="L28" s="1724"/>
      <c r="M28" s="1724"/>
      <c r="N28" s="1724"/>
      <c r="O28" s="1724"/>
      <c r="P28" s="1724"/>
      <c r="Q28" s="1724"/>
      <c r="R28" s="1724"/>
    </row>
    <row r="29" spans="1:18" s="1725" customFormat="1" ht="24.75" customHeight="1" x14ac:dyDescent="0.3">
      <c r="B29" s="1776"/>
      <c r="C29" s="1776"/>
      <c r="D29" s="1775"/>
      <c r="E29" s="1777"/>
      <c r="F29" s="1724"/>
      <c r="G29" s="1724"/>
      <c r="H29" s="1724"/>
      <c r="I29" s="1724"/>
      <c r="J29" s="1724"/>
      <c r="K29" s="1724"/>
      <c r="L29" s="1724"/>
      <c r="M29" s="1724"/>
      <c r="N29" s="1724"/>
      <c r="O29" s="1724"/>
      <c r="P29" s="1724"/>
      <c r="Q29" s="1724"/>
      <c r="R29" s="1724"/>
    </row>
  </sheetData>
  <mergeCells count="19">
    <mergeCell ref="B2:M2"/>
    <mergeCell ref="B3:R3"/>
    <mergeCell ref="B4:R4"/>
    <mergeCell ref="B5:R5"/>
    <mergeCell ref="B1:K1"/>
    <mergeCell ref="N6:R6"/>
    <mergeCell ref="B22:E22"/>
    <mergeCell ref="B23:R23"/>
    <mergeCell ref="N8:Q9"/>
    <mergeCell ref="R8:R10"/>
    <mergeCell ref="G9:G10"/>
    <mergeCell ref="H9:H10"/>
    <mergeCell ref="I9:K9"/>
    <mergeCell ref="M9:M10"/>
    <mergeCell ref="B8:B10"/>
    <mergeCell ref="C8:C10"/>
    <mergeCell ref="D8:D10"/>
    <mergeCell ref="E8:E10"/>
    <mergeCell ref="G8:M8"/>
  </mergeCells>
  <printOptions horizontalCentered="1"/>
  <pageMargins left="0.196527777777778" right="0.196527777777778" top="0.59027777777777801" bottom="0.59027777777777801" header="0.511811023622047" footer="0.51180555555555596"/>
  <pageSetup paperSize="9" scale="56" fitToHeight="0" orientation="landscape" verticalDpi="300" r:id="rId1"/>
  <headerFooter>
    <oddFooter>&amp;C- &amp;P -</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XFD802"/>
  <sheetViews>
    <sheetView view="pageBreakPreview" topLeftCell="A82" zoomScaleNormal="100" zoomScaleSheetLayoutView="100" workbookViewId="0">
      <selection activeCell="E111" sqref="E111"/>
    </sheetView>
  </sheetViews>
  <sheetFormatPr defaultColWidth="9.140625" defaultRowHeight="16.5" x14ac:dyDescent="0.3"/>
  <cols>
    <col min="1" max="1" width="3.5703125" style="1403" customWidth="1"/>
    <col min="2" max="2" width="3.7109375" style="19" customWidth="1"/>
    <col min="3" max="3" width="4.140625" style="50" customWidth="1"/>
    <col min="4" max="4" width="81.28515625" style="569" customWidth="1"/>
    <col min="5" max="5" width="15.28515625" style="2" customWidth="1"/>
    <col min="6" max="6" width="10.28515625" style="19" customWidth="1"/>
    <col min="7" max="7" width="30" style="19" customWidth="1"/>
    <col min="8" max="8" width="14.5703125" style="19" customWidth="1"/>
    <col min="9" max="10" width="9.140625" style="19"/>
    <col min="11" max="11" width="7.140625" style="19" customWidth="1"/>
    <col min="12" max="12" width="10.140625" style="19" customWidth="1"/>
    <col min="13" max="13" width="9.7109375" style="19" customWidth="1"/>
    <col min="14" max="256" width="9.140625" style="19"/>
    <col min="257" max="257" width="3.5703125" style="19" customWidth="1"/>
    <col min="258" max="258" width="3.7109375" style="19" customWidth="1"/>
    <col min="259" max="259" width="4.140625" style="19" customWidth="1"/>
    <col min="260" max="260" width="81.28515625" style="19" customWidth="1"/>
    <col min="261" max="261" width="15.28515625" style="19" customWidth="1"/>
    <col min="262" max="266" width="11.5703125" style="19" hidden="1" customWidth="1"/>
    <col min="267" max="267" width="7.140625" style="19" customWidth="1"/>
    <col min="268" max="268" width="10.140625" style="19" customWidth="1"/>
    <col min="269" max="269" width="9.7109375" style="19" customWidth="1"/>
    <col min="270" max="512" width="9.140625" style="19"/>
    <col min="513" max="513" width="3.5703125" style="19" customWidth="1"/>
    <col min="514" max="514" width="3.7109375" style="19" customWidth="1"/>
    <col min="515" max="515" width="4.140625" style="19" customWidth="1"/>
    <col min="516" max="516" width="81.28515625" style="19" customWidth="1"/>
    <col min="517" max="517" width="15.28515625" style="19" customWidth="1"/>
    <col min="518" max="522" width="11.5703125" style="19" hidden="1" customWidth="1"/>
    <col min="523" max="523" width="7.140625" style="19" customWidth="1"/>
    <col min="524" max="524" width="10.140625" style="19" customWidth="1"/>
    <col min="525" max="525" width="9.7109375" style="19" customWidth="1"/>
    <col min="526" max="768" width="9.140625" style="19"/>
    <col min="769" max="769" width="3.5703125" style="19" customWidth="1"/>
    <col min="770" max="770" width="3.7109375" style="19" customWidth="1"/>
    <col min="771" max="771" width="4.140625" style="19" customWidth="1"/>
    <col min="772" max="772" width="81.28515625" style="19" customWidth="1"/>
    <col min="773" max="773" width="15.28515625" style="19" customWidth="1"/>
    <col min="774" max="778" width="11.5703125" style="19" hidden="1" customWidth="1"/>
    <col min="779" max="779" width="7.140625" style="19" customWidth="1"/>
    <col min="780" max="780" width="10.140625" style="19" customWidth="1"/>
    <col min="781" max="781" width="9.7109375" style="19" customWidth="1"/>
    <col min="782" max="1024" width="9.140625" style="19"/>
    <col min="1025" max="1025" width="3.5703125" style="19" customWidth="1"/>
    <col min="1026" max="1026" width="3.7109375" style="19" customWidth="1"/>
    <col min="1027" max="1027" width="4.140625" style="19" customWidth="1"/>
    <col min="1028" max="1028" width="81.28515625" style="19" customWidth="1"/>
    <col min="1029" max="1029" width="15.28515625" style="19" customWidth="1"/>
    <col min="1030" max="1034" width="11.5703125" style="19" hidden="1" customWidth="1"/>
    <col min="1035" max="1035" width="7.140625" style="19" customWidth="1"/>
    <col min="1036" max="1036" width="10.140625" style="19" customWidth="1"/>
    <col min="1037" max="1037" width="9.7109375" style="19" customWidth="1"/>
    <col min="1038" max="1280" width="9.140625" style="19"/>
    <col min="1281" max="1281" width="3.5703125" style="19" customWidth="1"/>
    <col min="1282" max="1282" width="3.7109375" style="19" customWidth="1"/>
    <col min="1283" max="1283" width="4.140625" style="19" customWidth="1"/>
    <col min="1284" max="1284" width="81.28515625" style="19" customWidth="1"/>
    <col min="1285" max="1285" width="15.28515625" style="19" customWidth="1"/>
    <col min="1286" max="1290" width="11.5703125" style="19" hidden="1" customWidth="1"/>
    <col min="1291" max="1291" width="7.140625" style="19" customWidth="1"/>
    <col min="1292" max="1292" width="10.140625" style="19" customWidth="1"/>
    <col min="1293" max="1293" width="9.7109375" style="19" customWidth="1"/>
    <col min="1294" max="1536" width="9.140625" style="19"/>
    <col min="1537" max="1537" width="3.5703125" style="19" customWidth="1"/>
    <col min="1538" max="1538" width="3.7109375" style="19" customWidth="1"/>
    <col min="1539" max="1539" width="4.140625" style="19" customWidth="1"/>
    <col min="1540" max="1540" width="81.28515625" style="19" customWidth="1"/>
    <col min="1541" max="1541" width="15.28515625" style="19" customWidth="1"/>
    <col min="1542" max="1546" width="11.5703125" style="19" hidden="1" customWidth="1"/>
    <col min="1547" max="1547" width="7.140625" style="19" customWidth="1"/>
    <col min="1548" max="1548" width="10.140625" style="19" customWidth="1"/>
    <col min="1549" max="1549" width="9.7109375" style="19" customWidth="1"/>
    <col min="1550" max="1792" width="9.140625" style="19"/>
    <col min="1793" max="1793" width="3.5703125" style="19" customWidth="1"/>
    <col min="1794" max="1794" width="3.7109375" style="19" customWidth="1"/>
    <col min="1795" max="1795" width="4.140625" style="19" customWidth="1"/>
    <col min="1796" max="1796" width="81.28515625" style="19" customWidth="1"/>
    <col min="1797" max="1797" width="15.28515625" style="19" customWidth="1"/>
    <col min="1798" max="1802" width="11.5703125" style="19" hidden="1" customWidth="1"/>
    <col min="1803" max="1803" width="7.140625" style="19" customWidth="1"/>
    <col min="1804" max="1804" width="10.140625" style="19" customWidth="1"/>
    <col min="1805" max="1805" width="9.7109375" style="19" customWidth="1"/>
    <col min="1806" max="2048" width="9.140625" style="19"/>
    <col min="2049" max="2049" width="3.5703125" style="19" customWidth="1"/>
    <col min="2050" max="2050" width="3.7109375" style="19" customWidth="1"/>
    <col min="2051" max="2051" width="4.140625" style="19" customWidth="1"/>
    <col min="2052" max="2052" width="81.28515625" style="19" customWidth="1"/>
    <col min="2053" max="2053" width="15.28515625" style="19" customWidth="1"/>
    <col min="2054" max="2058" width="11.5703125" style="19" hidden="1" customWidth="1"/>
    <col min="2059" max="2059" width="7.140625" style="19" customWidth="1"/>
    <col min="2060" max="2060" width="10.140625" style="19" customWidth="1"/>
    <col min="2061" max="2061" width="9.7109375" style="19" customWidth="1"/>
    <col min="2062" max="2304" width="9.140625" style="19"/>
    <col min="2305" max="2305" width="3.5703125" style="19" customWidth="1"/>
    <col min="2306" max="2306" width="3.7109375" style="19" customWidth="1"/>
    <col min="2307" max="2307" width="4.140625" style="19" customWidth="1"/>
    <col min="2308" max="2308" width="81.28515625" style="19" customWidth="1"/>
    <col min="2309" max="2309" width="15.28515625" style="19" customWidth="1"/>
    <col min="2310" max="2314" width="11.5703125" style="19" hidden="1" customWidth="1"/>
    <col min="2315" max="2315" width="7.140625" style="19" customWidth="1"/>
    <col min="2316" max="2316" width="10.140625" style="19" customWidth="1"/>
    <col min="2317" max="2317" width="9.7109375" style="19" customWidth="1"/>
    <col min="2318" max="2560" width="9.140625" style="19"/>
    <col min="2561" max="2561" width="3.5703125" style="19" customWidth="1"/>
    <col min="2562" max="2562" width="3.7109375" style="19" customWidth="1"/>
    <col min="2563" max="2563" width="4.140625" style="19" customWidth="1"/>
    <col min="2564" max="2564" width="81.28515625" style="19" customWidth="1"/>
    <col min="2565" max="2565" width="15.28515625" style="19" customWidth="1"/>
    <col min="2566" max="2570" width="11.5703125" style="19" hidden="1" customWidth="1"/>
    <col min="2571" max="2571" width="7.140625" style="19" customWidth="1"/>
    <col min="2572" max="2572" width="10.140625" style="19" customWidth="1"/>
    <col min="2573" max="2573" width="9.7109375" style="19" customWidth="1"/>
    <col min="2574" max="2816" width="9.140625" style="19"/>
    <col min="2817" max="2817" width="3.5703125" style="19" customWidth="1"/>
    <col min="2818" max="2818" width="3.7109375" style="19" customWidth="1"/>
    <col min="2819" max="2819" width="4.140625" style="19" customWidth="1"/>
    <col min="2820" max="2820" width="81.28515625" style="19" customWidth="1"/>
    <col min="2821" max="2821" width="15.28515625" style="19" customWidth="1"/>
    <col min="2822" max="2826" width="11.5703125" style="19" hidden="1" customWidth="1"/>
    <col min="2827" max="2827" width="7.140625" style="19" customWidth="1"/>
    <col min="2828" max="2828" width="10.140625" style="19" customWidth="1"/>
    <col min="2829" max="2829" width="9.7109375" style="19" customWidth="1"/>
    <col min="2830" max="3072" width="9.140625" style="19"/>
    <col min="3073" max="3073" width="3.5703125" style="19" customWidth="1"/>
    <col min="3074" max="3074" width="3.7109375" style="19" customWidth="1"/>
    <col min="3075" max="3075" width="4.140625" style="19" customWidth="1"/>
    <col min="3076" max="3076" width="81.28515625" style="19" customWidth="1"/>
    <col min="3077" max="3077" width="15.28515625" style="19" customWidth="1"/>
    <col min="3078" max="3082" width="11.5703125" style="19" hidden="1" customWidth="1"/>
    <col min="3083" max="3083" width="7.140625" style="19" customWidth="1"/>
    <col min="3084" max="3084" width="10.140625" style="19" customWidth="1"/>
    <col min="3085" max="3085" width="9.7109375" style="19" customWidth="1"/>
    <col min="3086" max="3328" width="9.140625" style="19"/>
    <col min="3329" max="3329" width="3.5703125" style="19" customWidth="1"/>
    <col min="3330" max="3330" width="3.7109375" style="19" customWidth="1"/>
    <col min="3331" max="3331" width="4.140625" style="19" customWidth="1"/>
    <col min="3332" max="3332" width="81.28515625" style="19" customWidth="1"/>
    <col min="3333" max="3333" width="15.28515625" style="19" customWidth="1"/>
    <col min="3334" max="3338" width="11.5703125" style="19" hidden="1" customWidth="1"/>
    <col min="3339" max="3339" width="7.140625" style="19" customWidth="1"/>
    <col min="3340" max="3340" width="10.140625" style="19" customWidth="1"/>
    <col min="3341" max="3341" width="9.7109375" style="19" customWidth="1"/>
    <col min="3342" max="3584" width="9.140625" style="19"/>
    <col min="3585" max="3585" width="3.5703125" style="19" customWidth="1"/>
    <col min="3586" max="3586" width="3.7109375" style="19" customWidth="1"/>
    <col min="3587" max="3587" width="4.140625" style="19" customWidth="1"/>
    <col min="3588" max="3588" width="81.28515625" style="19" customWidth="1"/>
    <col min="3589" max="3589" width="15.28515625" style="19" customWidth="1"/>
    <col min="3590" max="3594" width="11.5703125" style="19" hidden="1" customWidth="1"/>
    <col min="3595" max="3595" width="7.140625" style="19" customWidth="1"/>
    <col min="3596" max="3596" width="10.140625" style="19" customWidth="1"/>
    <col min="3597" max="3597" width="9.7109375" style="19" customWidth="1"/>
    <col min="3598" max="3840" width="9.140625" style="19"/>
    <col min="3841" max="3841" width="3.5703125" style="19" customWidth="1"/>
    <col min="3842" max="3842" width="3.7109375" style="19" customWidth="1"/>
    <col min="3843" max="3843" width="4.140625" style="19" customWidth="1"/>
    <col min="3844" max="3844" width="81.28515625" style="19" customWidth="1"/>
    <col min="3845" max="3845" width="15.28515625" style="19" customWidth="1"/>
    <col min="3846" max="3850" width="11.5703125" style="19" hidden="1" customWidth="1"/>
    <col min="3851" max="3851" width="7.140625" style="19" customWidth="1"/>
    <col min="3852" max="3852" width="10.140625" style="19" customWidth="1"/>
    <col min="3853" max="3853" width="9.7109375" style="19" customWidth="1"/>
    <col min="3854" max="4096" width="9.140625" style="19"/>
    <col min="4097" max="4097" width="3.5703125" style="19" customWidth="1"/>
    <col min="4098" max="4098" width="3.7109375" style="19" customWidth="1"/>
    <col min="4099" max="4099" width="4.140625" style="19" customWidth="1"/>
    <col min="4100" max="4100" width="81.28515625" style="19" customWidth="1"/>
    <col min="4101" max="4101" width="15.28515625" style="19" customWidth="1"/>
    <col min="4102" max="4106" width="11.5703125" style="19" hidden="1" customWidth="1"/>
    <col min="4107" max="4107" width="7.140625" style="19" customWidth="1"/>
    <col min="4108" max="4108" width="10.140625" style="19" customWidth="1"/>
    <col min="4109" max="4109" width="9.7109375" style="19" customWidth="1"/>
    <col min="4110" max="4352" width="9.140625" style="19"/>
    <col min="4353" max="4353" width="3.5703125" style="19" customWidth="1"/>
    <col min="4354" max="4354" width="3.7109375" style="19" customWidth="1"/>
    <col min="4355" max="4355" width="4.140625" style="19" customWidth="1"/>
    <col min="4356" max="4356" width="81.28515625" style="19" customWidth="1"/>
    <col min="4357" max="4357" width="15.28515625" style="19" customWidth="1"/>
    <col min="4358" max="4362" width="11.5703125" style="19" hidden="1" customWidth="1"/>
    <col min="4363" max="4363" width="7.140625" style="19" customWidth="1"/>
    <col min="4364" max="4364" width="10.140625" style="19" customWidth="1"/>
    <col min="4365" max="4365" width="9.7109375" style="19" customWidth="1"/>
    <col min="4366" max="4608" width="9.140625" style="19"/>
    <col min="4609" max="4609" width="3.5703125" style="19" customWidth="1"/>
    <col min="4610" max="4610" width="3.7109375" style="19" customWidth="1"/>
    <col min="4611" max="4611" width="4.140625" style="19" customWidth="1"/>
    <col min="4612" max="4612" width="81.28515625" style="19" customWidth="1"/>
    <col min="4613" max="4613" width="15.28515625" style="19" customWidth="1"/>
    <col min="4614" max="4618" width="11.5703125" style="19" hidden="1" customWidth="1"/>
    <col min="4619" max="4619" width="7.140625" style="19" customWidth="1"/>
    <col min="4620" max="4620" width="10.140625" style="19" customWidth="1"/>
    <col min="4621" max="4621" width="9.7109375" style="19" customWidth="1"/>
    <col min="4622" max="4864" width="9.140625" style="19"/>
    <col min="4865" max="4865" width="3.5703125" style="19" customWidth="1"/>
    <col min="4866" max="4866" width="3.7109375" style="19" customWidth="1"/>
    <col min="4867" max="4867" width="4.140625" style="19" customWidth="1"/>
    <col min="4868" max="4868" width="81.28515625" style="19" customWidth="1"/>
    <col min="4869" max="4869" width="15.28515625" style="19" customWidth="1"/>
    <col min="4870" max="4874" width="11.5703125" style="19" hidden="1" customWidth="1"/>
    <col min="4875" max="4875" width="7.140625" style="19" customWidth="1"/>
    <col min="4876" max="4876" width="10.140625" style="19" customWidth="1"/>
    <col min="4877" max="4877" width="9.7109375" style="19" customWidth="1"/>
    <col min="4878" max="5120" width="9.140625" style="19"/>
    <col min="5121" max="5121" width="3.5703125" style="19" customWidth="1"/>
    <col min="5122" max="5122" width="3.7109375" style="19" customWidth="1"/>
    <col min="5123" max="5123" width="4.140625" style="19" customWidth="1"/>
    <col min="5124" max="5124" width="81.28515625" style="19" customWidth="1"/>
    <col min="5125" max="5125" width="15.28515625" style="19" customWidth="1"/>
    <col min="5126" max="5130" width="11.5703125" style="19" hidden="1" customWidth="1"/>
    <col min="5131" max="5131" width="7.140625" style="19" customWidth="1"/>
    <col min="5132" max="5132" width="10.140625" style="19" customWidth="1"/>
    <col min="5133" max="5133" width="9.7109375" style="19" customWidth="1"/>
    <col min="5134" max="5376" width="9.140625" style="19"/>
    <col min="5377" max="5377" width="3.5703125" style="19" customWidth="1"/>
    <col min="5378" max="5378" width="3.7109375" style="19" customWidth="1"/>
    <col min="5379" max="5379" width="4.140625" style="19" customWidth="1"/>
    <col min="5380" max="5380" width="81.28515625" style="19" customWidth="1"/>
    <col min="5381" max="5381" width="15.28515625" style="19" customWidth="1"/>
    <col min="5382" max="5386" width="11.5703125" style="19" hidden="1" customWidth="1"/>
    <col min="5387" max="5387" width="7.140625" style="19" customWidth="1"/>
    <col min="5388" max="5388" width="10.140625" style="19" customWidth="1"/>
    <col min="5389" max="5389" width="9.7109375" style="19" customWidth="1"/>
    <col min="5390" max="5632" width="9.140625" style="19"/>
    <col min="5633" max="5633" width="3.5703125" style="19" customWidth="1"/>
    <col min="5634" max="5634" width="3.7109375" style="19" customWidth="1"/>
    <col min="5635" max="5635" width="4.140625" style="19" customWidth="1"/>
    <col min="5636" max="5636" width="81.28515625" style="19" customWidth="1"/>
    <col min="5637" max="5637" width="15.28515625" style="19" customWidth="1"/>
    <col min="5638" max="5642" width="11.5703125" style="19" hidden="1" customWidth="1"/>
    <col min="5643" max="5643" width="7.140625" style="19" customWidth="1"/>
    <col min="5644" max="5644" width="10.140625" style="19" customWidth="1"/>
    <col min="5645" max="5645" width="9.7109375" style="19" customWidth="1"/>
    <col min="5646" max="5888" width="9.140625" style="19"/>
    <col min="5889" max="5889" width="3.5703125" style="19" customWidth="1"/>
    <col min="5890" max="5890" width="3.7109375" style="19" customWidth="1"/>
    <col min="5891" max="5891" width="4.140625" style="19" customWidth="1"/>
    <col min="5892" max="5892" width="81.28515625" style="19" customWidth="1"/>
    <col min="5893" max="5893" width="15.28515625" style="19" customWidth="1"/>
    <col min="5894" max="5898" width="11.5703125" style="19" hidden="1" customWidth="1"/>
    <col min="5899" max="5899" width="7.140625" style="19" customWidth="1"/>
    <col min="5900" max="5900" width="10.140625" style="19" customWidth="1"/>
    <col min="5901" max="5901" width="9.7109375" style="19" customWidth="1"/>
    <col min="5902" max="6144" width="9.140625" style="19"/>
    <col min="6145" max="6145" width="3.5703125" style="19" customWidth="1"/>
    <col min="6146" max="6146" width="3.7109375" style="19" customWidth="1"/>
    <col min="6147" max="6147" width="4.140625" style="19" customWidth="1"/>
    <col min="6148" max="6148" width="81.28515625" style="19" customWidth="1"/>
    <col min="6149" max="6149" width="15.28515625" style="19" customWidth="1"/>
    <col min="6150" max="6154" width="11.5703125" style="19" hidden="1" customWidth="1"/>
    <col min="6155" max="6155" width="7.140625" style="19" customWidth="1"/>
    <col min="6156" max="6156" width="10.140625" style="19" customWidth="1"/>
    <col min="6157" max="6157" width="9.7109375" style="19" customWidth="1"/>
    <col min="6158" max="6400" width="9.140625" style="19"/>
    <col min="6401" max="6401" width="3.5703125" style="19" customWidth="1"/>
    <col min="6402" max="6402" width="3.7109375" style="19" customWidth="1"/>
    <col min="6403" max="6403" width="4.140625" style="19" customWidth="1"/>
    <col min="6404" max="6404" width="81.28515625" style="19" customWidth="1"/>
    <col min="6405" max="6405" width="15.28515625" style="19" customWidth="1"/>
    <col min="6406" max="6410" width="11.5703125" style="19" hidden="1" customWidth="1"/>
    <col min="6411" max="6411" width="7.140625" style="19" customWidth="1"/>
    <col min="6412" max="6412" width="10.140625" style="19" customWidth="1"/>
    <col min="6413" max="6413" width="9.7109375" style="19" customWidth="1"/>
    <col min="6414" max="6656" width="9.140625" style="19"/>
    <col min="6657" max="6657" width="3.5703125" style="19" customWidth="1"/>
    <col min="6658" max="6658" width="3.7109375" style="19" customWidth="1"/>
    <col min="6659" max="6659" width="4.140625" style="19" customWidth="1"/>
    <col min="6660" max="6660" width="81.28515625" style="19" customWidth="1"/>
    <col min="6661" max="6661" width="15.28515625" style="19" customWidth="1"/>
    <col min="6662" max="6666" width="11.5703125" style="19" hidden="1" customWidth="1"/>
    <col min="6667" max="6667" width="7.140625" style="19" customWidth="1"/>
    <col min="6668" max="6668" width="10.140625" style="19" customWidth="1"/>
    <col min="6669" max="6669" width="9.7109375" style="19" customWidth="1"/>
    <col min="6670" max="6912" width="9.140625" style="19"/>
    <col min="6913" max="6913" width="3.5703125" style="19" customWidth="1"/>
    <col min="6914" max="6914" width="3.7109375" style="19" customWidth="1"/>
    <col min="6915" max="6915" width="4.140625" style="19" customWidth="1"/>
    <col min="6916" max="6916" width="81.28515625" style="19" customWidth="1"/>
    <col min="6917" max="6917" width="15.28515625" style="19" customWidth="1"/>
    <col min="6918" max="6922" width="11.5703125" style="19" hidden="1" customWidth="1"/>
    <col min="6923" max="6923" width="7.140625" style="19" customWidth="1"/>
    <col min="6924" max="6924" width="10.140625" style="19" customWidth="1"/>
    <col min="6925" max="6925" width="9.7109375" style="19" customWidth="1"/>
    <col min="6926" max="7168" width="9.140625" style="19"/>
    <col min="7169" max="7169" width="3.5703125" style="19" customWidth="1"/>
    <col min="7170" max="7170" width="3.7109375" style="19" customWidth="1"/>
    <col min="7171" max="7171" width="4.140625" style="19" customWidth="1"/>
    <col min="7172" max="7172" width="81.28515625" style="19" customWidth="1"/>
    <col min="7173" max="7173" width="15.28515625" style="19" customWidth="1"/>
    <col min="7174" max="7178" width="11.5703125" style="19" hidden="1" customWidth="1"/>
    <col min="7179" max="7179" width="7.140625" style="19" customWidth="1"/>
    <col min="7180" max="7180" width="10.140625" style="19" customWidth="1"/>
    <col min="7181" max="7181" width="9.7109375" style="19" customWidth="1"/>
    <col min="7182" max="7424" width="9.140625" style="19"/>
    <col min="7425" max="7425" width="3.5703125" style="19" customWidth="1"/>
    <col min="7426" max="7426" width="3.7109375" style="19" customWidth="1"/>
    <col min="7427" max="7427" width="4.140625" style="19" customWidth="1"/>
    <col min="7428" max="7428" width="81.28515625" style="19" customWidth="1"/>
    <col min="7429" max="7429" width="15.28515625" style="19" customWidth="1"/>
    <col min="7430" max="7434" width="11.5703125" style="19" hidden="1" customWidth="1"/>
    <col min="7435" max="7435" width="7.140625" style="19" customWidth="1"/>
    <col min="7436" max="7436" width="10.140625" style="19" customWidth="1"/>
    <col min="7437" max="7437" width="9.7109375" style="19" customWidth="1"/>
    <col min="7438" max="7680" width="9.140625" style="19"/>
    <col min="7681" max="7681" width="3.5703125" style="19" customWidth="1"/>
    <col min="7682" max="7682" width="3.7109375" style="19" customWidth="1"/>
    <col min="7683" max="7683" width="4.140625" style="19" customWidth="1"/>
    <col min="7684" max="7684" width="81.28515625" style="19" customWidth="1"/>
    <col min="7685" max="7685" width="15.28515625" style="19" customWidth="1"/>
    <col min="7686" max="7690" width="11.5703125" style="19" hidden="1" customWidth="1"/>
    <col min="7691" max="7691" width="7.140625" style="19" customWidth="1"/>
    <col min="7692" max="7692" width="10.140625" style="19" customWidth="1"/>
    <col min="7693" max="7693" width="9.7109375" style="19" customWidth="1"/>
    <col min="7694" max="7936" width="9.140625" style="19"/>
    <col min="7937" max="7937" width="3.5703125" style="19" customWidth="1"/>
    <col min="7938" max="7938" width="3.7109375" style="19" customWidth="1"/>
    <col min="7939" max="7939" width="4.140625" style="19" customWidth="1"/>
    <col min="7940" max="7940" width="81.28515625" style="19" customWidth="1"/>
    <col min="7941" max="7941" width="15.28515625" style="19" customWidth="1"/>
    <col min="7942" max="7946" width="11.5703125" style="19" hidden="1" customWidth="1"/>
    <col min="7947" max="7947" width="7.140625" style="19" customWidth="1"/>
    <col min="7948" max="7948" width="10.140625" style="19" customWidth="1"/>
    <col min="7949" max="7949" width="9.7109375" style="19" customWidth="1"/>
    <col min="7950" max="8192" width="9.140625" style="19"/>
    <col min="8193" max="8193" width="3.5703125" style="19" customWidth="1"/>
    <col min="8194" max="8194" width="3.7109375" style="19" customWidth="1"/>
    <col min="8195" max="8195" width="4.140625" style="19" customWidth="1"/>
    <col min="8196" max="8196" width="81.28515625" style="19" customWidth="1"/>
    <col min="8197" max="8197" width="15.28515625" style="19" customWidth="1"/>
    <col min="8198" max="8202" width="11.5703125" style="19" hidden="1" customWidth="1"/>
    <col min="8203" max="8203" width="7.140625" style="19" customWidth="1"/>
    <col min="8204" max="8204" width="10.140625" style="19" customWidth="1"/>
    <col min="8205" max="8205" width="9.7109375" style="19" customWidth="1"/>
    <col min="8206" max="8448" width="9.140625" style="19"/>
    <col min="8449" max="8449" width="3.5703125" style="19" customWidth="1"/>
    <col min="8450" max="8450" width="3.7109375" style="19" customWidth="1"/>
    <col min="8451" max="8451" width="4.140625" style="19" customWidth="1"/>
    <col min="8452" max="8452" width="81.28515625" style="19" customWidth="1"/>
    <col min="8453" max="8453" width="15.28515625" style="19" customWidth="1"/>
    <col min="8454" max="8458" width="11.5703125" style="19" hidden="1" customWidth="1"/>
    <col min="8459" max="8459" width="7.140625" style="19" customWidth="1"/>
    <col min="8460" max="8460" width="10.140625" style="19" customWidth="1"/>
    <col min="8461" max="8461" width="9.7109375" style="19" customWidth="1"/>
    <col min="8462" max="8704" width="9.140625" style="19"/>
    <col min="8705" max="8705" width="3.5703125" style="19" customWidth="1"/>
    <col min="8706" max="8706" width="3.7109375" style="19" customWidth="1"/>
    <col min="8707" max="8707" width="4.140625" style="19" customWidth="1"/>
    <col min="8708" max="8708" width="81.28515625" style="19" customWidth="1"/>
    <col min="8709" max="8709" width="15.28515625" style="19" customWidth="1"/>
    <col min="8710" max="8714" width="11.5703125" style="19" hidden="1" customWidth="1"/>
    <col min="8715" max="8715" width="7.140625" style="19" customWidth="1"/>
    <col min="8716" max="8716" width="10.140625" style="19" customWidth="1"/>
    <col min="8717" max="8717" width="9.7109375" style="19" customWidth="1"/>
    <col min="8718" max="8960" width="9.140625" style="19"/>
    <col min="8961" max="8961" width="3.5703125" style="19" customWidth="1"/>
    <col min="8962" max="8962" width="3.7109375" style="19" customWidth="1"/>
    <col min="8963" max="8963" width="4.140625" style="19" customWidth="1"/>
    <col min="8964" max="8964" width="81.28515625" style="19" customWidth="1"/>
    <col min="8965" max="8965" width="15.28515625" style="19" customWidth="1"/>
    <col min="8966" max="8970" width="11.5703125" style="19" hidden="1" customWidth="1"/>
    <col min="8971" max="8971" width="7.140625" style="19" customWidth="1"/>
    <col min="8972" max="8972" width="10.140625" style="19" customWidth="1"/>
    <col min="8973" max="8973" width="9.7109375" style="19" customWidth="1"/>
    <col min="8974" max="9216" width="9.140625" style="19"/>
    <col min="9217" max="9217" width="3.5703125" style="19" customWidth="1"/>
    <col min="9218" max="9218" width="3.7109375" style="19" customWidth="1"/>
    <col min="9219" max="9219" width="4.140625" style="19" customWidth="1"/>
    <col min="9220" max="9220" width="81.28515625" style="19" customWidth="1"/>
    <col min="9221" max="9221" width="15.28515625" style="19" customWidth="1"/>
    <col min="9222" max="9226" width="11.5703125" style="19" hidden="1" customWidth="1"/>
    <col min="9227" max="9227" width="7.140625" style="19" customWidth="1"/>
    <col min="9228" max="9228" width="10.140625" style="19" customWidth="1"/>
    <col min="9229" max="9229" width="9.7109375" style="19" customWidth="1"/>
    <col min="9230" max="9472" width="9.140625" style="19"/>
    <col min="9473" max="9473" width="3.5703125" style="19" customWidth="1"/>
    <col min="9474" max="9474" width="3.7109375" style="19" customWidth="1"/>
    <col min="9475" max="9475" width="4.140625" style="19" customWidth="1"/>
    <col min="9476" max="9476" width="81.28515625" style="19" customWidth="1"/>
    <col min="9477" max="9477" width="15.28515625" style="19" customWidth="1"/>
    <col min="9478" max="9482" width="11.5703125" style="19" hidden="1" customWidth="1"/>
    <col min="9483" max="9483" width="7.140625" style="19" customWidth="1"/>
    <col min="9484" max="9484" width="10.140625" style="19" customWidth="1"/>
    <col min="9485" max="9485" width="9.7109375" style="19" customWidth="1"/>
    <col min="9486" max="9728" width="9.140625" style="19"/>
    <col min="9729" max="9729" width="3.5703125" style="19" customWidth="1"/>
    <col min="9730" max="9730" width="3.7109375" style="19" customWidth="1"/>
    <col min="9731" max="9731" width="4.140625" style="19" customWidth="1"/>
    <col min="9732" max="9732" width="81.28515625" style="19" customWidth="1"/>
    <col min="9733" max="9733" width="15.28515625" style="19" customWidth="1"/>
    <col min="9734" max="9738" width="11.5703125" style="19" hidden="1" customWidth="1"/>
    <col min="9739" max="9739" width="7.140625" style="19" customWidth="1"/>
    <col min="9740" max="9740" width="10.140625" style="19" customWidth="1"/>
    <col min="9741" max="9741" width="9.7109375" style="19" customWidth="1"/>
    <col min="9742" max="9984" width="9.140625" style="19"/>
    <col min="9985" max="9985" width="3.5703125" style="19" customWidth="1"/>
    <col min="9986" max="9986" width="3.7109375" style="19" customWidth="1"/>
    <col min="9987" max="9987" width="4.140625" style="19" customWidth="1"/>
    <col min="9988" max="9988" width="81.28515625" style="19" customWidth="1"/>
    <col min="9989" max="9989" width="15.28515625" style="19" customWidth="1"/>
    <col min="9990" max="9994" width="11.5703125" style="19" hidden="1" customWidth="1"/>
    <col min="9995" max="9995" width="7.140625" style="19" customWidth="1"/>
    <col min="9996" max="9996" width="10.140625" style="19" customWidth="1"/>
    <col min="9997" max="9997" width="9.7109375" style="19" customWidth="1"/>
    <col min="9998" max="10240" width="9.140625" style="19"/>
    <col min="10241" max="10241" width="3.5703125" style="19" customWidth="1"/>
    <col min="10242" max="10242" width="3.7109375" style="19" customWidth="1"/>
    <col min="10243" max="10243" width="4.140625" style="19" customWidth="1"/>
    <col min="10244" max="10244" width="81.28515625" style="19" customWidth="1"/>
    <col min="10245" max="10245" width="15.28515625" style="19" customWidth="1"/>
    <col min="10246" max="10250" width="11.5703125" style="19" hidden="1" customWidth="1"/>
    <col min="10251" max="10251" width="7.140625" style="19" customWidth="1"/>
    <col min="10252" max="10252" width="10.140625" style="19" customWidth="1"/>
    <col min="10253" max="10253" width="9.7109375" style="19" customWidth="1"/>
    <col min="10254" max="10496" width="9.140625" style="19"/>
    <col min="10497" max="10497" width="3.5703125" style="19" customWidth="1"/>
    <col min="10498" max="10498" width="3.7109375" style="19" customWidth="1"/>
    <col min="10499" max="10499" width="4.140625" style="19" customWidth="1"/>
    <col min="10500" max="10500" width="81.28515625" style="19" customWidth="1"/>
    <col min="10501" max="10501" width="15.28515625" style="19" customWidth="1"/>
    <col min="10502" max="10506" width="11.5703125" style="19" hidden="1" customWidth="1"/>
    <col min="10507" max="10507" width="7.140625" style="19" customWidth="1"/>
    <col min="10508" max="10508" width="10.140625" style="19" customWidth="1"/>
    <col min="10509" max="10509" width="9.7109375" style="19" customWidth="1"/>
    <col min="10510" max="10752" width="9.140625" style="19"/>
    <col min="10753" max="10753" width="3.5703125" style="19" customWidth="1"/>
    <col min="10754" max="10754" width="3.7109375" style="19" customWidth="1"/>
    <col min="10755" max="10755" width="4.140625" style="19" customWidth="1"/>
    <col min="10756" max="10756" width="81.28515625" style="19" customWidth="1"/>
    <col min="10757" max="10757" width="15.28515625" style="19" customWidth="1"/>
    <col min="10758" max="10762" width="11.5703125" style="19" hidden="1" customWidth="1"/>
    <col min="10763" max="10763" width="7.140625" style="19" customWidth="1"/>
    <col min="10764" max="10764" width="10.140625" style="19" customWidth="1"/>
    <col min="10765" max="10765" width="9.7109375" style="19" customWidth="1"/>
    <col min="10766" max="11008" width="9.140625" style="19"/>
    <col min="11009" max="11009" width="3.5703125" style="19" customWidth="1"/>
    <col min="11010" max="11010" width="3.7109375" style="19" customWidth="1"/>
    <col min="11011" max="11011" width="4.140625" style="19" customWidth="1"/>
    <col min="11012" max="11012" width="81.28515625" style="19" customWidth="1"/>
    <col min="11013" max="11013" width="15.28515625" style="19" customWidth="1"/>
    <col min="11014" max="11018" width="11.5703125" style="19" hidden="1" customWidth="1"/>
    <col min="11019" max="11019" width="7.140625" style="19" customWidth="1"/>
    <col min="11020" max="11020" width="10.140625" style="19" customWidth="1"/>
    <col min="11021" max="11021" width="9.7109375" style="19" customWidth="1"/>
    <col min="11022" max="11264" width="9.140625" style="19"/>
    <col min="11265" max="11265" width="3.5703125" style="19" customWidth="1"/>
    <col min="11266" max="11266" width="3.7109375" style="19" customWidth="1"/>
    <col min="11267" max="11267" width="4.140625" style="19" customWidth="1"/>
    <col min="11268" max="11268" width="81.28515625" style="19" customWidth="1"/>
    <col min="11269" max="11269" width="15.28515625" style="19" customWidth="1"/>
    <col min="11270" max="11274" width="11.5703125" style="19" hidden="1" customWidth="1"/>
    <col min="11275" max="11275" width="7.140625" style="19" customWidth="1"/>
    <col min="11276" max="11276" width="10.140625" style="19" customWidth="1"/>
    <col min="11277" max="11277" width="9.7109375" style="19" customWidth="1"/>
    <col min="11278" max="11520" width="9.140625" style="19"/>
    <col min="11521" max="11521" width="3.5703125" style="19" customWidth="1"/>
    <col min="11522" max="11522" width="3.7109375" style="19" customWidth="1"/>
    <col min="11523" max="11523" width="4.140625" style="19" customWidth="1"/>
    <col min="11524" max="11524" width="81.28515625" style="19" customWidth="1"/>
    <col min="11525" max="11525" width="15.28515625" style="19" customWidth="1"/>
    <col min="11526" max="11530" width="11.5703125" style="19" hidden="1" customWidth="1"/>
    <col min="11531" max="11531" width="7.140625" style="19" customWidth="1"/>
    <col min="11532" max="11532" width="10.140625" style="19" customWidth="1"/>
    <col min="11533" max="11533" width="9.7109375" style="19" customWidth="1"/>
    <col min="11534" max="11776" width="9.140625" style="19"/>
    <col min="11777" max="11777" width="3.5703125" style="19" customWidth="1"/>
    <col min="11778" max="11778" width="3.7109375" style="19" customWidth="1"/>
    <col min="11779" max="11779" width="4.140625" style="19" customWidth="1"/>
    <col min="11780" max="11780" width="81.28515625" style="19" customWidth="1"/>
    <col min="11781" max="11781" width="15.28515625" style="19" customWidth="1"/>
    <col min="11782" max="11786" width="11.5703125" style="19" hidden="1" customWidth="1"/>
    <col min="11787" max="11787" width="7.140625" style="19" customWidth="1"/>
    <col min="11788" max="11788" width="10.140625" style="19" customWidth="1"/>
    <col min="11789" max="11789" width="9.7109375" style="19" customWidth="1"/>
    <col min="11790" max="12032" width="9.140625" style="19"/>
    <col min="12033" max="12033" width="3.5703125" style="19" customWidth="1"/>
    <col min="12034" max="12034" width="3.7109375" style="19" customWidth="1"/>
    <col min="12035" max="12035" width="4.140625" style="19" customWidth="1"/>
    <col min="12036" max="12036" width="81.28515625" style="19" customWidth="1"/>
    <col min="12037" max="12037" width="15.28515625" style="19" customWidth="1"/>
    <col min="12038" max="12042" width="11.5703125" style="19" hidden="1" customWidth="1"/>
    <col min="12043" max="12043" width="7.140625" style="19" customWidth="1"/>
    <col min="12044" max="12044" width="10.140625" style="19" customWidth="1"/>
    <col min="12045" max="12045" width="9.7109375" style="19" customWidth="1"/>
    <col min="12046" max="12288" width="9.140625" style="19"/>
    <col min="12289" max="12289" width="3.5703125" style="19" customWidth="1"/>
    <col min="12290" max="12290" width="3.7109375" style="19" customWidth="1"/>
    <col min="12291" max="12291" width="4.140625" style="19" customWidth="1"/>
    <col min="12292" max="12292" width="81.28515625" style="19" customWidth="1"/>
    <col min="12293" max="12293" width="15.28515625" style="19" customWidth="1"/>
    <col min="12294" max="12298" width="11.5703125" style="19" hidden="1" customWidth="1"/>
    <col min="12299" max="12299" width="7.140625" style="19" customWidth="1"/>
    <col min="12300" max="12300" width="10.140625" style="19" customWidth="1"/>
    <col min="12301" max="12301" width="9.7109375" style="19" customWidth="1"/>
    <col min="12302" max="12544" width="9.140625" style="19"/>
    <col min="12545" max="12545" width="3.5703125" style="19" customWidth="1"/>
    <col min="12546" max="12546" width="3.7109375" style="19" customWidth="1"/>
    <col min="12547" max="12547" width="4.140625" style="19" customWidth="1"/>
    <col min="12548" max="12548" width="81.28515625" style="19" customWidth="1"/>
    <col min="12549" max="12549" width="15.28515625" style="19" customWidth="1"/>
    <col min="12550" max="12554" width="11.5703125" style="19" hidden="1" customWidth="1"/>
    <col min="12555" max="12555" width="7.140625" style="19" customWidth="1"/>
    <col min="12556" max="12556" width="10.140625" style="19" customWidth="1"/>
    <col min="12557" max="12557" width="9.7109375" style="19" customWidth="1"/>
    <col min="12558" max="12800" width="9.140625" style="19"/>
    <col min="12801" max="12801" width="3.5703125" style="19" customWidth="1"/>
    <col min="12802" max="12802" width="3.7109375" style="19" customWidth="1"/>
    <col min="12803" max="12803" width="4.140625" style="19" customWidth="1"/>
    <col min="12804" max="12804" width="81.28515625" style="19" customWidth="1"/>
    <col min="12805" max="12805" width="15.28515625" style="19" customWidth="1"/>
    <col min="12806" max="12810" width="11.5703125" style="19" hidden="1" customWidth="1"/>
    <col min="12811" max="12811" width="7.140625" style="19" customWidth="1"/>
    <col min="12812" max="12812" width="10.140625" style="19" customWidth="1"/>
    <col min="12813" max="12813" width="9.7109375" style="19" customWidth="1"/>
    <col min="12814" max="13056" width="9.140625" style="19"/>
    <col min="13057" max="13057" width="3.5703125" style="19" customWidth="1"/>
    <col min="13058" max="13058" width="3.7109375" style="19" customWidth="1"/>
    <col min="13059" max="13059" width="4.140625" style="19" customWidth="1"/>
    <col min="13060" max="13060" width="81.28515625" style="19" customWidth="1"/>
    <col min="13061" max="13061" width="15.28515625" style="19" customWidth="1"/>
    <col min="13062" max="13066" width="11.5703125" style="19" hidden="1" customWidth="1"/>
    <col min="13067" max="13067" width="7.140625" style="19" customWidth="1"/>
    <col min="13068" max="13068" width="10.140625" style="19" customWidth="1"/>
    <col min="13069" max="13069" width="9.7109375" style="19" customWidth="1"/>
    <col min="13070" max="13312" width="9.140625" style="19"/>
    <col min="13313" max="13313" width="3.5703125" style="19" customWidth="1"/>
    <col min="13314" max="13314" width="3.7109375" style="19" customWidth="1"/>
    <col min="13315" max="13315" width="4.140625" style="19" customWidth="1"/>
    <col min="13316" max="13316" width="81.28515625" style="19" customWidth="1"/>
    <col min="13317" max="13317" width="15.28515625" style="19" customWidth="1"/>
    <col min="13318" max="13322" width="11.5703125" style="19" hidden="1" customWidth="1"/>
    <col min="13323" max="13323" width="7.140625" style="19" customWidth="1"/>
    <col min="13324" max="13324" width="10.140625" style="19" customWidth="1"/>
    <col min="13325" max="13325" width="9.7109375" style="19" customWidth="1"/>
    <col min="13326" max="13568" width="9.140625" style="19"/>
    <col min="13569" max="13569" width="3.5703125" style="19" customWidth="1"/>
    <col min="13570" max="13570" width="3.7109375" style="19" customWidth="1"/>
    <col min="13571" max="13571" width="4.140625" style="19" customWidth="1"/>
    <col min="13572" max="13572" width="81.28515625" style="19" customWidth="1"/>
    <col min="13573" max="13573" width="15.28515625" style="19" customWidth="1"/>
    <col min="13574" max="13578" width="11.5703125" style="19" hidden="1" customWidth="1"/>
    <col min="13579" max="13579" width="7.140625" style="19" customWidth="1"/>
    <col min="13580" max="13580" width="10.140625" style="19" customWidth="1"/>
    <col min="13581" max="13581" width="9.7109375" style="19" customWidth="1"/>
    <col min="13582" max="13824" width="9.140625" style="19"/>
    <col min="13825" max="13825" width="3.5703125" style="19" customWidth="1"/>
    <col min="13826" max="13826" width="3.7109375" style="19" customWidth="1"/>
    <col min="13827" max="13827" width="4.140625" style="19" customWidth="1"/>
    <col min="13828" max="13828" width="81.28515625" style="19" customWidth="1"/>
    <col min="13829" max="13829" width="15.28515625" style="19" customWidth="1"/>
    <col min="13830" max="13834" width="11.5703125" style="19" hidden="1" customWidth="1"/>
    <col min="13835" max="13835" width="7.140625" style="19" customWidth="1"/>
    <col min="13836" max="13836" width="10.140625" style="19" customWidth="1"/>
    <col min="13837" max="13837" width="9.7109375" style="19" customWidth="1"/>
    <col min="13838" max="14080" width="9.140625" style="19"/>
    <col min="14081" max="14081" width="3.5703125" style="19" customWidth="1"/>
    <col min="14082" max="14082" width="3.7109375" style="19" customWidth="1"/>
    <col min="14083" max="14083" width="4.140625" style="19" customWidth="1"/>
    <col min="14084" max="14084" width="81.28515625" style="19" customWidth="1"/>
    <col min="14085" max="14085" width="15.28515625" style="19" customWidth="1"/>
    <col min="14086" max="14090" width="11.5703125" style="19" hidden="1" customWidth="1"/>
    <col min="14091" max="14091" width="7.140625" style="19" customWidth="1"/>
    <col min="14092" max="14092" width="10.140625" style="19" customWidth="1"/>
    <col min="14093" max="14093" width="9.7109375" style="19" customWidth="1"/>
    <col min="14094" max="14336" width="9.140625" style="19"/>
    <col min="14337" max="14337" width="3.5703125" style="19" customWidth="1"/>
    <col min="14338" max="14338" width="3.7109375" style="19" customWidth="1"/>
    <col min="14339" max="14339" width="4.140625" style="19" customWidth="1"/>
    <col min="14340" max="14340" width="81.28515625" style="19" customWidth="1"/>
    <col min="14341" max="14341" width="15.28515625" style="19" customWidth="1"/>
    <col min="14342" max="14346" width="11.5703125" style="19" hidden="1" customWidth="1"/>
    <col min="14347" max="14347" width="7.140625" style="19" customWidth="1"/>
    <col min="14348" max="14348" width="10.140625" style="19" customWidth="1"/>
    <col min="14349" max="14349" width="9.7109375" style="19" customWidth="1"/>
    <col min="14350" max="14592" width="9.140625" style="19"/>
    <col min="14593" max="14593" width="3.5703125" style="19" customWidth="1"/>
    <col min="14594" max="14594" width="3.7109375" style="19" customWidth="1"/>
    <col min="14595" max="14595" width="4.140625" style="19" customWidth="1"/>
    <col min="14596" max="14596" width="81.28515625" style="19" customWidth="1"/>
    <col min="14597" max="14597" width="15.28515625" style="19" customWidth="1"/>
    <col min="14598" max="14602" width="11.5703125" style="19" hidden="1" customWidth="1"/>
    <col min="14603" max="14603" width="7.140625" style="19" customWidth="1"/>
    <col min="14604" max="14604" width="10.140625" style="19" customWidth="1"/>
    <col min="14605" max="14605" width="9.7109375" style="19" customWidth="1"/>
    <col min="14606" max="14848" width="9.140625" style="19"/>
    <col min="14849" max="14849" width="3.5703125" style="19" customWidth="1"/>
    <col min="14850" max="14850" width="3.7109375" style="19" customWidth="1"/>
    <col min="14851" max="14851" width="4.140625" style="19" customWidth="1"/>
    <col min="14852" max="14852" width="81.28515625" style="19" customWidth="1"/>
    <col min="14853" max="14853" width="15.28515625" style="19" customWidth="1"/>
    <col min="14854" max="14858" width="11.5703125" style="19" hidden="1" customWidth="1"/>
    <col min="14859" max="14859" width="7.140625" style="19" customWidth="1"/>
    <col min="14860" max="14860" width="10.140625" style="19" customWidth="1"/>
    <col min="14861" max="14861" width="9.7109375" style="19" customWidth="1"/>
    <col min="14862" max="15104" width="9.140625" style="19"/>
    <col min="15105" max="15105" width="3.5703125" style="19" customWidth="1"/>
    <col min="15106" max="15106" width="3.7109375" style="19" customWidth="1"/>
    <col min="15107" max="15107" width="4.140625" style="19" customWidth="1"/>
    <col min="15108" max="15108" width="81.28515625" style="19" customWidth="1"/>
    <col min="15109" max="15109" width="15.28515625" style="19" customWidth="1"/>
    <col min="15110" max="15114" width="11.5703125" style="19" hidden="1" customWidth="1"/>
    <col min="15115" max="15115" width="7.140625" style="19" customWidth="1"/>
    <col min="15116" max="15116" width="10.140625" style="19" customWidth="1"/>
    <col min="15117" max="15117" width="9.7109375" style="19" customWidth="1"/>
    <col min="15118" max="15360" width="9.140625" style="19"/>
    <col min="15361" max="15361" width="3.5703125" style="19" customWidth="1"/>
    <col min="15362" max="15362" width="3.7109375" style="19" customWidth="1"/>
    <col min="15363" max="15363" width="4.140625" style="19" customWidth="1"/>
    <col min="15364" max="15364" width="81.28515625" style="19" customWidth="1"/>
    <col min="15365" max="15365" width="15.28515625" style="19" customWidth="1"/>
    <col min="15366" max="15370" width="11.5703125" style="19" hidden="1" customWidth="1"/>
    <col min="15371" max="15371" width="7.140625" style="19" customWidth="1"/>
    <col min="15372" max="15372" width="10.140625" style="19" customWidth="1"/>
    <col min="15373" max="15373" width="9.7109375" style="19" customWidth="1"/>
    <col min="15374" max="15616" width="9.140625" style="19"/>
    <col min="15617" max="15617" width="3.5703125" style="19" customWidth="1"/>
    <col min="15618" max="15618" width="3.7109375" style="19" customWidth="1"/>
    <col min="15619" max="15619" width="4.140625" style="19" customWidth="1"/>
    <col min="15620" max="15620" width="81.28515625" style="19" customWidth="1"/>
    <col min="15621" max="15621" width="15.28515625" style="19" customWidth="1"/>
    <col min="15622" max="15626" width="11.5703125" style="19" hidden="1" customWidth="1"/>
    <col min="15627" max="15627" width="7.140625" style="19" customWidth="1"/>
    <col min="15628" max="15628" width="10.140625" style="19" customWidth="1"/>
    <col min="15629" max="15629" width="9.7109375" style="19" customWidth="1"/>
    <col min="15630" max="15872" width="9.140625" style="19"/>
    <col min="15873" max="15873" width="3.5703125" style="19" customWidth="1"/>
    <col min="15874" max="15874" width="3.7109375" style="19" customWidth="1"/>
    <col min="15875" max="15875" width="4.140625" style="19" customWidth="1"/>
    <col min="15876" max="15876" width="81.28515625" style="19" customWidth="1"/>
    <col min="15877" max="15877" width="15.28515625" style="19" customWidth="1"/>
    <col min="15878" max="15882" width="11.5703125" style="19" hidden="1" customWidth="1"/>
    <col min="15883" max="15883" width="7.140625" style="19" customWidth="1"/>
    <col min="15884" max="15884" width="10.140625" style="19" customWidth="1"/>
    <col min="15885" max="15885" width="9.7109375" style="19" customWidth="1"/>
    <col min="15886" max="16128" width="9.140625" style="19"/>
    <col min="16129" max="16129" width="3.5703125" style="19" customWidth="1"/>
    <col min="16130" max="16130" width="3.7109375" style="19" customWidth="1"/>
    <col min="16131" max="16131" width="4.140625" style="19" customWidth="1"/>
    <col min="16132" max="16132" width="81.28515625" style="19" customWidth="1"/>
    <col min="16133" max="16133" width="15.28515625" style="19" customWidth="1"/>
    <col min="16134" max="16138" width="11.5703125" style="19" hidden="1" customWidth="1"/>
    <col min="16139" max="16139" width="7.140625" style="19" customWidth="1"/>
    <col min="16140" max="16140" width="10.140625" style="19" customWidth="1"/>
    <col min="16141" max="16141" width="9.7109375" style="19" customWidth="1"/>
    <col min="16142" max="16384" width="9.140625" style="19"/>
  </cols>
  <sheetData>
    <row r="1" spans="1:256" ht="35.25" customHeight="1" x14ac:dyDescent="0.3">
      <c r="B1" s="2076" t="s">
        <v>1121</v>
      </c>
      <c r="C1" s="2076"/>
      <c r="D1" s="2076"/>
      <c r="E1" s="2076"/>
    </row>
    <row r="2" spans="1:256" ht="18" customHeight="1" x14ac:dyDescent="0.3">
      <c r="B2" s="1542" t="s">
        <v>804</v>
      </c>
      <c r="C2" s="1542"/>
      <c r="D2" s="1542"/>
      <c r="E2" s="199"/>
    </row>
    <row r="3" spans="1:256" ht="30" customHeight="1" x14ac:dyDescent="0.35">
      <c r="B3" s="2077" t="s">
        <v>735</v>
      </c>
      <c r="C3" s="2077"/>
      <c r="D3" s="2077"/>
      <c r="E3" s="2077"/>
    </row>
    <row r="4" spans="1:256" ht="24.95" customHeight="1" x14ac:dyDescent="0.3">
      <c r="B4" s="2078" t="s">
        <v>805</v>
      </c>
      <c r="C4" s="2078"/>
      <c r="D4" s="2078"/>
      <c r="E4" s="2078"/>
      <c r="F4" s="1"/>
      <c r="G4" s="1"/>
      <c r="H4" s="1"/>
      <c r="I4" s="1"/>
      <c r="J4" s="1"/>
      <c r="K4" s="1"/>
      <c r="L4" s="1"/>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c r="BQ4" s="1"/>
      <c r="BR4" s="1"/>
      <c r="BS4" s="1"/>
      <c r="BT4" s="1"/>
      <c r="BU4" s="1"/>
      <c r="BV4" s="1"/>
      <c r="BW4" s="1"/>
      <c r="BX4" s="1"/>
      <c r="BY4" s="1"/>
      <c r="BZ4" s="1"/>
      <c r="CA4" s="1"/>
      <c r="CB4" s="1"/>
      <c r="CC4" s="1"/>
      <c r="CD4" s="1"/>
      <c r="CE4" s="1"/>
      <c r="CF4" s="1"/>
      <c r="CG4" s="1"/>
      <c r="CH4" s="1"/>
      <c r="CI4" s="1"/>
      <c r="CJ4" s="1"/>
      <c r="CK4" s="1"/>
      <c r="CL4" s="1"/>
      <c r="CM4" s="1"/>
      <c r="CN4" s="1"/>
      <c r="CO4" s="1"/>
      <c r="CP4" s="1"/>
      <c r="CQ4" s="1"/>
      <c r="CR4" s="1"/>
      <c r="CS4" s="1"/>
      <c r="CT4" s="1"/>
      <c r="CU4" s="1"/>
      <c r="CV4" s="1"/>
      <c r="CW4" s="1"/>
      <c r="CX4" s="1"/>
      <c r="CY4" s="1"/>
      <c r="CZ4" s="1"/>
      <c r="DA4" s="1"/>
      <c r="DB4" s="1"/>
      <c r="DC4" s="1"/>
      <c r="DD4" s="1"/>
      <c r="DE4" s="1"/>
      <c r="DF4" s="1"/>
      <c r="DG4" s="1"/>
      <c r="DH4" s="1"/>
      <c r="DI4" s="1"/>
      <c r="DJ4" s="1"/>
      <c r="DK4" s="1"/>
      <c r="DL4" s="1"/>
      <c r="DM4" s="1"/>
      <c r="DN4" s="1"/>
      <c r="DO4" s="1"/>
      <c r="DP4" s="1"/>
      <c r="DQ4" s="1"/>
      <c r="DR4" s="1"/>
      <c r="DS4" s="1"/>
      <c r="DT4" s="1"/>
      <c r="DU4" s="1"/>
      <c r="DV4" s="1"/>
      <c r="DW4" s="1"/>
      <c r="DX4" s="1"/>
      <c r="DY4" s="1"/>
      <c r="DZ4" s="1"/>
      <c r="EA4" s="1"/>
      <c r="EB4" s="1"/>
      <c r="EC4" s="1"/>
      <c r="ED4" s="1"/>
      <c r="EE4" s="1"/>
      <c r="EF4" s="1"/>
      <c r="EG4" s="1"/>
      <c r="EH4" s="1"/>
      <c r="EI4" s="1"/>
      <c r="EJ4" s="1"/>
      <c r="EK4" s="1"/>
      <c r="EL4" s="1"/>
      <c r="EM4" s="1"/>
      <c r="EN4" s="1"/>
      <c r="EO4" s="1"/>
      <c r="EP4" s="1"/>
      <c r="EQ4" s="1"/>
      <c r="ER4" s="1"/>
      <c r="ES4" s="1"/>
      <c r="ET4" s="1"/>
      <c r="EU4" s="1"/>
      <c r="EV4" s="1"/>
      <c r="EW4" s="1"/>
      <c r="EX4" s="1"/>
      <c r="EY4" s="1"/>
      <c r="EZ4" s="1"/>
      <c r="FA4" s="1"/>
      <c r="FB4" s="1"/>
      <c r="FC4" s="1"/>
      <c r="FD4" s="1"/>
      <c r="FE4" s="1"/>
      <c r="FF4" s="1"/>
      <c r="FG4" s="1"/>
      <c r="FH4" s="1"/>
      <c r="FI4" s="1"/>
      <c r="FJ4" s="1"/>
      <c r="FK4" s="1"/>
      <c r="FL4" s="1"/>
      <c r="FM4" s="1"/>
      <c r="FN4" s="1"/>
      <c r="FO4" s="1"/>
      <c r="FP4" s="1"/>
      <c r="FQ4" s="1"/>
      <c r="FR4" s="1"/>
      <c r="FS4" s="1"/>
      <c r="FT4" s="1"/>
      <c r="FU4" s="1"/>
      <c r="FV4" s="1"/>
      <c r="FW4" s="1"/>
      <c r="FX4" s="1"/>
      <c r="FY4" s="1"/>
      <c r="FZ4" s="1"/>
      <c r="GA4" s="1"/>
      <c r="GB4" s="1"/>
      <c r="GC4" s="1"/>
      <c r="GD4" s="1"/>
      <c r="GE4" s="1"/>
      <c r="GF4" s="1"/>
      <c r="GG4" s="1"/>
      <c r="GH4" s="1"/>
      <c r="GI4" s="1"/>
      <c r="GJ4" s="1"/>
      <c r="GK4" s="1"/>
      <c r="GL4" s="1"/>
      <c r="GM4" s="1"/>
      <c r="GN4" s="1"/>
      <c r="GO4" s="1"/>
      <c r="GP4" s="1"/>
      <c r="GQ4" s="1"/>
      <c r="GR4" s="1"/>
      <c r="GS4" s="1"/>
      <c r="GT4" s="1"/>
      <c r="GU4" s="1"/>
      <c r="GV4" s="1"/>
      <c r="GW4" s="1"/>
      <c r="GX4" s="1"/>
      <c r="GY4" s="1"/>
      <c r="GZ4" s="1"/>
      <c r="HA4" s="1"/>
      <c r="HB4" s="1"/>
      <c r="HC4" s="1"/>
      <c r="HD4" s="1"/>
      <c r="HE4" s="1"/>
      <c r="HF4" s="1"/>
      <c r="HG4" s="1"/>
      <c r="HH4" s="1"/>
      <c r="HI4" s="1"/>
      <c r="HJ4" s="1"/>
      <c r="HK4" s="1"/>
      <c r="HL4" s="1"/>
      <c r="HM4" s="1"/>
      <c r="HN4" s="1"/>
      <c r="HO4" s="1"/>
      <c r="HP4" s="1"/>
      <c r="HQ4" s="1"/>
      <c r="HR4" s="1"/>
      <c r="HS4" s="1"/>
      <c r="HT4" s="1"/>
      <c r="HU4" s="1"/>
      <c r="HV4" s="1"/>
      <c r="HW4" s="1"/>
      <c r="HX4" s="1"/>
      <c r="HY4" s="1"/>
      <c r="HZ4" s="1"/>
      <c r="IA4" s="1"/>
      <c r="IB4" s="1"/>
      <c r="IC4" s="1"/>
      <c r="ID4" s="1"/>
      <c r="IE4" s="1"/>
      <c r="IF4" s="1"/>
      <c r="IG4" s="1"/>
      <c r="IH4" s="1"/>
      <c r="II4" s="1"/>
      <c r="IJ4" s="1"/>
      <c r="IK4" s="1"/>
      <c r="IL4" s="1"/>
      <c r="IM4" s="1"/>
      <c r="IN4" s="1"/>
      <c r="IO4" s="1"/>
      <c r="IP4" s="1"/>
      <c r="IQ4" s="1"/>
      <c r="IR4" s="1"/>
      <c r="IS4" s="1"/>
      <c r="IT4" s="1"/>
      <c r="IU4" s="1"/>
      <c r="IV4" s="1"/>
    </row>
    <row r="5" spans="1:256" ht="22.5" customHeight="1" x14ac:dyDescent="0.3">
      <c r="A5" s="19"/>
      <c r="B5" s="19" t="s">
        <v>972</v>
      </c>
      <c r="C5" s="19"/>
      <c r="D5" s="19"/>
      <c r="E5" s="1681"/>
      <c r="F5" s="1"/>
      <c r="G5" s="1"/>
      <c r="H5" s="1"/>
      <c r="I5" s="1"/>
      <c r="J5" s="1"/>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c r="BS5" s="1"/>
      <c r="BT5" s="1"/>
      <c r="BU5" s="1"/>
      <c r="BV5" s="1"/>
      <c r="BW5" s="1"/>
      <c r="BX5" s="1"/>
      <c r="BY5" s="1"/>
      <c r="BZ5" s="1"/>
      <c r="CA5" s="1"/>
      <c r="CB5" s="1"/>
      <c r="CC5" s="1"/>
      <c r="CD5" s="1"/>
      <c r="CE5" s="1"/>
      <c r="CF5" s="1"/>
      <c r="CG5" s="1"/>
      <c r="CH5" s="1"/>
      <c r="CI5" s="1"/>
      <c r="CJ5" s="1"/>
      <c r="CK5" s="1"/>
      <c r="CL5" s="1"/>
      <c r="CM5" s="1"/>
      <c r="CN5" s="1"/>
      <c r="CO5" s="1"/>
      <c r="CP5" s="1"/>
      <c r="CQ5" s="1"/>
      <c r="CR5" s="1"/>
      <c r="CS5" s="1"/>
      <c r="CT5" s="1"/>
      <c r="CU5" s="1"/>
      <c r="CV5" s="1"/>
      <c r="CW5" s="1"/>
      <c r="CX5" s="1"/>
      <c r="CY5" s="1"/>
      <c r="CZ5" s="1"/>
      <c r="DA5" s="1"/>
      <c r="DB5" s="1"/>
      <c r="DC5" s="1"/>
      <c r="DD5" s="1"/>
      <c r="DE5" s="1"/>
      <c r="DF5" s="1"/>
      <c r="DG5" s="1"/>
      <c r="DH5" s="1"/>
      <c r="DI5" s="1"/>
      <c r="DJ5" s="1"/>
      <c r="DK5" s="1"/>
      <c r="DL5" s="1"/>
      <c r="DM5" s="1"/>
      <c r="DN5" s="1"/>
      <c r="DO5" s="1"/>
      <c r="DP5" s="1"/>
      <c r="DQ5" s="1"/>
      <c r="DR5" s="1"/>
      <c r="DS5" s="1"/>
      <c r="DT5" s="1"/>
      <c r="DU5" s="1"/>
      <c r="DV5" s="1"/>
      <c r="DW5" s="1"/>
      <c r="DX5" s="1"/>
      <c r="DY5" s="1"/>
      <c r="DZ5" s="1"/>
      <c r="EA5" s="1"/>
      <c r="EB5" s="1"/>
      <c r="EC5" s="1"/>
      <c r="ED5" s="1"/>
      <c r="EE5" s="1"/>
      <c r="EF5" s="1"/>
      <c r="EG5" s="1"/>
      <c r="EH5" s="1"/>
      <c r="EI5" s="1"/>
      <c r="EJ5" s="1"/>
      <c r="EK5" s="1"/>
      <c r="EL5" s="1"/>
      <c r="EM5" s="1"/>
      <c r="EN5" s="1"/>
      <c r="EO5" s="1"/>
      <c r="EP5" s="1"/>
      <c r="EQ5" s="1"/>
      <c r="ER5" s="1"/>
      <c r="ES5" s="1"/>
      <c r="ET5" s="1"/>
      <c r="EU5" s="1"/>
      <c r="EV5" s="1"/>
      <c r="EW5" s="1"/>
      <c r="EX5" s="1"/>
      <c r="EY5" s="1"/>
      <c r="EZ5" s="1"/>
      <c r="FA5" s="1"/>
      <c r="FB5" s="1"/>
      <c r="FC5" s="1"/>
      <c r="FD5" s="1"/>
      <c r="FE5" s="1"/>
      <c r="FF5" s="1"/>
      <c r="FG5" s="1"/>
      <c r="FH5" s="1"/>
      <c r="FI5" s="1"/>
      <c r="FJ5" s="1"/>
      <c r="FK5" s="1"/>
      <c r="FL5" s="1"/>
      <c r="FM5" s="1"/>
      <c r="FN5" s="1"/>
      <c r="FO5" s="1"/>
      <c r="FP5" s="1"/>
      <c r="FQ5" s="1"/>
      <c r="FR5" s="1"/>
      <c r="FS5" s="1"/>
      <c r="FT5" s="1"/>
      <c r="FU5" s="1"/>
      <c r="FV5" s="1"/>
      <c r="FW5" s="1"/>
      <c r="FX5" s="1"/>
      <c r="FY5" s="1"/>
      <c r="FZ5" s="1"/>
      <c r="GA5" s="1"/>
      <c r="GB5" s="1"/>
      <c r="GC5" s="1"/>
      <c r="GD5" s="1"/>
      <c r="GE5" s="1"/>
      <c r="GF5" s="1"/>
      <c r="GG5" s="1"/>
      <c r="GH5" s="1"/>
      <c r="GI5" s="1"/>
      <c r="GJ5" s="1"/>
      <c r="GK5" s="1"/>
      <c r="GL5" s="1"/>
      <c r="GM5" s="1"/>
      <c r="GN5" s="1"/>
      <c r="GO5" s="1"/>
      <c r="GP5" s="1"/>
      <c r="GQ5" s="1"/>
      <c r="GR5" s="1"/>
      <c r="GS5" s="1"/>
      <c r="GT5" s="1"/>
      <c r="GU5" s="1"/>
      <c r="GV5" s="1"/>
      <c r="GW5" s="1"/>
      <c r="GX5" s="1"/>
      <c r="GY5" s="1"/>
      <c r="GZ5" s="1"/>
      <c r="HA5" s="1"/>
      <c r="HB5" s="1"/>
      <c r="HC5" s="1"/>
      <c r="HD5" s="1"/>
      <c r="HE5" s="1"/>
      <c r="HF5" s="1"/>
      <c r="HG5" s="1"/>
      <c r="HH5" s="1"/>
      <c r="HI5" s="1"/>
      <c r="HJ5" s="1"/>
      <c r="HK5" s="1"/>
      <c r="HL5" s="1"/>
      <c r="HM5" s="1"/>
      <c r="HN5" s="1"/>
      <c r="HO5" s="1"/>
      <c r="HP5" s="1"/>
      <c r="HQ5" s="1"/>
      <c r="HR5" s="1"/>
      <c r="HS5" s="1"/>
      <c r="HT5" s="1"/>
      <c r="HU5" s="1"/>
      <c r="HV5" s="1"/>
      <c r="HW5" s="1"/>
      <c r="HX5" s="1"/>
      <c r="HY5" s="1"/>
      <c r="HZ5" s="1"/>
      <c r="IA5" s="1"/>
      <c r="IB5" s="1"/>
      <c r="IC5" s="1"/>
      <c r="ID5" s="1"/>
      <c r="IE5" s="1"/>
      <c r="IF5" s="1"/>
      <c r="IG5" s="1"/>
      <c r="IH5" s="1"/>
      <c r="II5" s="1"/>
      <c r="IJ5" s="1"/>
      <c r="IK5" s="1"/>
      <c r="IL5" s="1"/>
      <c r="IM5" s="1"/>
      <c r="IN5" s="1"/>
      <c r="IO5" s="1"/>
      <c r="IP5" s="1"/>
      <c r="IQ5" s="1"/>
      <c r="IR5" s="1"/>
      <c r="IS5" s="1"/>
      <c r="IT5" s="1"/>
      <c r="IU5" s="1"/>
      <c r="IV5" s="1"/>
    </row>
    <row r="6" spans="1:256" x14ac:dyDescent="0.3">
      <c r="B6" s="2050" t="s">
        <v>971</v>
      </c>
      <c r="C6" s="2050"/>
      <c r="D6" s="2050"/>
      <c r="E6" s="2050"/>
      <c r="F6" s="1"/>
      <c r="G6" s="1"/>
      <c r="H6" s="1"/>
      <c r="I6" s="1"/>
      <c r="J6" s="1"/>
      <c r="K6" s="1"/>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c r="DV6" s="1"/>
      <c r="DW6" s="1"/>
      <c r="DX6" s="1"/>
      <c r="DY6" s="1"/>
      <c r="DZ6" s="1"/>
      <c r="EA6" s="1"/>
      <c r="EB6" s="1"/>
      <c r="EC6" s="1"/>
      <c r="ED6" s="1"/>
      <c r="EE6" s="1"/>
      <c r="EF6" s="1"/>
      <c r="EG6" s="1"/>
      <c r="EH6" s="1"/>
      <c r="EI6" s="1"/>
      <c r="EJ6" s="1"/>
      <c r="EK6" s="1"/>
      <c r="EL6" s="1"/>
      <c r="EM6" s="1"/>
      <c r="EN6" s="1"/>
      <c r="EO6" s="1"/>
      <c r="EP6" s="1"/>
      <c r="EQ6" s="1"/>
      <c r="ER6" s="1"/>
      <c r="ES6" s="1"/>
      <c r="ET6" s="1"/>
      <c r="EU6" s="1"/>
      <c r="EV6" s="1"/>
      <c r="EW6" s="1"/>
      <c r="EX6" s="1"/>
      <c r="EY6" s="1"/>
      <c r="EZ6" s="1"/>
      <c r="FA6" s="1"/>
      <c r="FB6" s="1"/>
      <c r="FC6" s="1"/>
      <c r="FD6" s="1"/>
      <c r="FE6" s="1"/>
      <c r="FF6" s="1"/>
      <c r="FG6" s="1"/>
      <c r="FH6" s="1"/>
      <c r="FI6" s="1"/>
      <c r="FJ6" s="1"/>
      <c r="FK6" s="1"/>
      <c r="FL6" s="1"/>
      <c r="FM6" s="1"/>
      <c r="FN6" s="1"/>
      <c r="FO6" s="1"/>
      <c r="FP6" s="1"/>
      <c r="FQ6" s="1"/>
      <c r="FR6" s="1"/>
      <c r="FS6" s="1"/>
      <c r="FT6" s="1"/>
      <c r="FU6" s="1"/>
      <c r="FV6" s="1"/>
      <c r="FW6" s="1"/>
      <c r="FX6" s="1"/>
      <c r="FY6" s="1"/>
      <c r="FZ6" s="1"/>
      <c r="GA6" s="1"/>
      <c r="GB6" s="1"/>
      <c r="GC6" s="1"/>
      <c r="GD6" s="1"/>
      <c r="GE6" s="1"/>
      <c r="GF6" s="1"/>
      <c r="GG6" s="1"/>
      <c r="GH6" s="1"/>
      <c r="GI6" s="1"/>
      <c r="GJ6" s="1"/>
      <c r="GK6" s="1"/>
      <c r="GL6" s="1"/>
      <c r="GM6" s="1"/>
      <c r="GN6" s="1"/>
      <c r="GO6" s="1"/>
      <c r="GP6" s="1"/>
      <c r="GQ6" s="1"/>
      <c r="GR6" s="1"/>
      <c r="GS6" s="1"/>
      <c r="GT6" s="1"/>
      <c r="GU6" s="1"/>
      <c r="GV6" s="1"/>
      <c r="GW6" s="1"/>
      <c r="GX6" s="1"/>
      <c r="GY6" s="1"/>
      <c r="GZ6" s="1"/>
      <c r="HA6" s="1"/>
      <c r="HB6" s="1"/>
      <c r="HC6" s="1"/>
      <c r="HD6" s="1"/>
      <c r="HE6" s="1"/>
      <c r="HF6" s="1"/>
      <c r="HG6" s="1"/>
      <c r="HH6" s="1"/>
      <c r="HI6" s="1"/>
      <c r="HJ6" s="1"/>
      <c r="HK6" s="1"/>
      <c r="HL6" s="1"/>
      <c r="HM6" s="1"/>
      <c r="HN6" s="1"/>
      <c r="HO6" s="1"/>
      <c r="HP6" s="1"/>
      <c r="HQ6" s="1"/>
      <c r="HR6" s="1"/>
      <c r="HS6" s="1"/>
      <c r="HT6" s="1"/>
      <c r="HU6" s="1"/>
      <c r="HV6" s="1"/>
      <c r="HW6" s="1"/>
      <c r="HX6" s="1"/>
      <c r="HY6" s="1"/>
      <c r="HZ6" s="1"/>
      <c r="IA6" s="1"/>
      <c r="IB6" s="1"/>
      <c r="IC6" s="1"/>
      <c r="ID6" s="1"/>
      <c r="IE6" s="1"/>
      <c r="IF6" s="1"/>
      <c r="IG6" s="1"/>
      <c r="IH6" s="1"/>
      <c r="II6" s="1"/>
      <c r="IJ6" s="1"/>
      <c r="IK6" s="1"/>
      <c r="IL6" s="1"/>
      <c r="IM6" s="1"/>
      <c r="IN6" s="1"/>
      <c r="IO6" s="1"/>
      <c r="IP6" s="1"/>
      <c r="IQ6" s="1"/>
      <c r="IR6" s="1"/>
      <c r="IS6" s="1"/>
      <c r="IT6" s="1"/>
      <c r="IU6" s="1"/>
      <c r="IV6" s="1"/>
    </row>
    <row r="7" spans="1:256" x14ac:dyDescent="0.3">
      <c r="C7" s="50" t="s">
        <v>736</v>
      </c>
      <c r="E7" s="90" t="s">
        <v>0</v>
      </c>
    </row>
    <row r="8" spans="1:256" ht="17.25" thickBot="1" x14ac:dyDescent="0.35">
      <c r="B8" s="63"/>
      <c r="C8" s="955"/>
      <c r="D8" s="1404" t="s">
        <v>1</v>
      </c>
      <c r="E8" s="571" t="s">
        <v>3</v>
      </c>
      <c r="F8" s="63"/>
      <c r="G8" s="63"/>
      <c r="H8" s="63"/>
      <c r="I8" s="63"/>
      <c r="J8" s="63"/>
      <c r="K8" s="63"/>
      <c r="L8" s="63"/>
      <c r="M8" s="63"/>
      <c r="N8" s="63"/>
      <c r="O8" s="63"/>
      <c r="P8" s="63"/>
      <c r="Q8" s="63"/>
      <c r="R8" s="63"/>
      <c r="S8" s="63"/>
      <c r="T8" s="63"/>
      <c r="U8" s="63"/>
      <c r="V8" s="63"/>
      <c r="W8" s="63"/>
      <c r="X8" s="63"/>
      <c r="Y8" s="63"/>
      <c r="Z8" s="63"/>
      <c r="AA8" s="63"/>
      <c r="AB8" s="63"/>
      <c r="AC8" s="63"/>
      <c r="AD8" s="63"/>
      <c r="AE8" s="63"/>
      <c r="AF8" s="63"/>
      <c r="AG8" s="63"/>
      <c r="AH8" s="63"/>
      <c r="AI8" s="63"/>
      <c r="AJ8" s="63"/>
      <c r="AK8" s="63"/>
      <c r="AL8" s="63"/>
      <c r="AM8" s="63"/>
      <c r="AN8" s="63"/>
      <c r="AO8" s="63"/>
      <c r="AP8" s="63"/>
      <c r="AQ8" s="63"/>
      <c r="AR8" s="63"/>
      <c r="AS8" s="63"/>
      <c r="AT8" s="63"/>
      <c r="AU8" s="63"/>
      <c r="AV8" s="63"/>
      <c r="AW8" s="63"/>
      <c r="AX8" s="63"/>
      <c r="AY8" s="63"/>
      <c r="AZ8" s="63"/>
      <c r="BA8" s="63"/>
      <c r="BB8" s="63"/>
      <c r="BC8" s="63"/>
      <c r="BD8" s="63"/>
      <c r="BE8" s="63"/>
      <c r="BF8" s="63"/>
      <c r="BG8" s="63"/>
      <c r="BH8" s="63"/>
      <c r="BI8" s="63"/>
      <c r="BJ8" s="63"/>
      <c r="BK8" s="63"/>
      <c r="BL8" s="63"/>
      <c r="BM8" s="63"/>
      <c r="BN8" s="63"/>
      <c r="BO8" s="63"/>
      <c r="BP8" s="63"/>
      <c r="BQ8" s="63"/>
      <c r="BR8" s="63"/>
      <c r="BS8" s="63"/>
      <c r="BT8" s="63"/>
      <c r="BU8" s="63"/>
      <c r="BV8" s="63"/>
      <c r="BW8" s="63"/>
      <c r="BX8" s="63"/>
      <c r="BY8" s="63"/>
      <c r="BZ8" s="63"/>
      <c r="CA8" s="63"/>
      <c r="CB8" s="63"/>
      <c r="CC8" s="63"/>
      <c r="CD8" s="63"/>
      <c r="CE8" s="63"/>
      <c r="CF8" s="63"/>
      <c r="CG8" s="63"/>
      <c r="CH8" s="63"/>
      <c r="CI8" s="63"/>
      <c r="CJ8" s="63"/>
      <c r="CK8" s="63"/>
      <c r="CL8" s="63"/>
      <c r="CM8" s="63"/>
      <c r="CN8" s="63"/>
      <c r="CO8" s="63"/>
      <c r="CP8" s="63"/>
      <c r="CQ8" s="63"/>
      <c r="CR8" s="63"/>
      <c r="CS8" s="63"/>
      <c r="CT8" s="63"/>
      <c r="CU8" s="63"/>
      <c r="CV8" s="63"/>
      <c r="CW8" s="63"/>
      <c r="CX8" s="63"/>
      <c r="CY8" s="63"/>
      <c r="CZ8" s="63"/>
      <c r="DA8" s="63"/>
      <c r="DB8" s="63"/>
      <c r="DC8" s="63"/>
      <c r="DD8" s="63"/>
      <c r="DE8" s="63"/>
      <c r="DF8" s="63"/>
      <c r="DG8" s="63"/>
      <c r="DH8" s="63"/>
      <c r="DI8" s="63"/>
      <c r="DJ8" s="63"/>
      <c r="DK8" s="63"/>
      <c r="DL8" s="63"/>
      <c r="DM8" s="63"/>
      <c r="DN8" s="63"/>
      <c r="DO8" s="63"/>
      <c r="DP8" s="63"/>
      <c r="DQ8" s="63"/>
      <c r="DR8" s="63"/>
      <c r="DS8" s="63"/>
      <c r="DT8" s="63"/>
      <c r="DU8" s="63"/>
      <c r="DV8" s="63"/>
      <c r="DW8" s="63"/>
      <c r="DX8" s="63"/>
      <c r="DY8" s="63"/>
      <c r="DZ8" s="63"/>
      <c r="EA8" s="63"/>
      <c r="EB8" s="63"/>
      <c r="EC8" s="63"/>
      <c r="ED8" s="63"/>
      <c r="EE8" s="63"/>
      <c r="EF8" s="63"/>
      <c r="EG8" s="63"/>
      <c r="EH8" s="63"/>
      <c r="EI8" s="63"/>
      <c r="EJ8" s="63"/>
      <c r="EK8" s="63"/>
      <c r="EL8" s="63"/>
      <c r="EM8" s="63"/>
      <c r="EN8" s="63"/>
      <c r="EO8" s="63"/>
      <c r="EP8" s="63"/>
      <c r="EQ8" s="63"/>
      <c r="ER8" s="63"/>
      <c r="ES8" s="63"/>
      <c r="ET8" s="63"/>
      <c r="EU8" s="63"/>
      <c r="EV8" s="63"/>
      <c r="EW8" s="63"/>
      <c r="EX8" s="63"/>
      <c r="EY8" s="63"/>
      <c r="EZ8" s="63"/>
      <c r="FA8" s="63"/>
      <c r="FB8" s="63"/>
      <c r="FC8" s="63"/>
      <c r="FD8" s="63"/>
      <c r="FE8" s="63"/>
      <c r="FF8" s="63"/>
      <c r="FG8" s="63"/>
      <c r="FH8" s="63"/>
      <c r="FI8" s="63"/>
      <c r="FJ8" s="63"/>
      <c r="FK8" s="63"/>
      <c r="FL8" s="63"/>
      <c r="FM8" s="63"/>
      <c r="FN8" s="63"/>
      <c r="FO8" s="63"/>
      <c r="FP8" s="63"/>
      <c r="FQ8" s="63"/>
      <c r="FR8" s="63"/>
      <c r="FS8" s="63"/>
      <c r="FT8" s="63"/>
      <c r="FU8" s="63"/>
      <c r="FV8" s="63"/>
      <c r="FW8" s="63"/>
      <c r="FX8" s="63"/>
      <c r="FY8" s="63"/>
      <c r="FZ8" s="63"/>
      <c r="GA8" s="63"/>
      <c r="GB8" s="63"/>
      <c r="GC8" s="63"/>
      <c r="GD8" s="63"/>
      <c r="GE8" s="63"/>
      <c r="GF8" s="63"/>
      <c r="GG8" s="63"/>
      <c r="GH8" s="63"/>
      <c r="GI8" s="63"/>
      <c r="GJ8" s="63"/>
      <c r="GK8" s="63"/>
      <c r="GL8" s="63"/>
      <c r="GM8" s="63"/>
      <c r="GN8" s="63"/>
      <c r="GO8" s="63"/>
      <c r="GP8" s="63"/>
      <c r="GQ8" s="63"/>
      <c r="GR8" s="63"/>
      <c r="GS8" s="63"/>
      <c r="GT8" s="63"/>
      <c r="GU8" s="63"/>
      <c r="GV8" s="63"/>
      <c r="GW8" s="63"/>
      <c r="GX8" s="63"/>
      <c r="GY8" s="63"/>
      <c r="GZ8" s="63"/>
      <c r="HA8" s="63"/>
      <c r="HB8" s="63"/>
      <c r="HC8" s="63"/>
      <c r="HD8" s="63"/>
      <c r="HE8" s="63"/>
      <c r="HF8" s="63"/>
      <c r="HG8" s="63"/>
      <c r="HH8" s="63"/>
      <c r="HI8" s="63"/>
      <c r="HJ8" s="63"/>
      <c r="HK8" s="63"/>
      <c r="HL8" s="63"/>
      <c r="HM8" s="63"/>
      <c r="HN8" s="63"/>
      <c r="HO8" s="63"/>
      <c r="HP8" s="63"/>
      <c r="HQ8" s="63"/>
      <c r="HR8" s="63"/>
      <c r="HS8" s="63"/>
      <c r="HT8" s="63"/>
      <c r="HU8" s="63"/>
      <c r="HV8" s="63"/>
      <c r="HW8" s="63"/>
      <c r="HX8" s="63"/>
      <c r="HY8" s="63"/>
      <c r="HZ8" s="63"/>
      <c r="IA8" s="63"/>
      <c r="IB8" s="63"/>
      <c r="IC8" s="63"/>
      <c r="ID8" s="63"/>
      <c r="IE8" s="63"/>
      <c r="IF8" s="63"/>
      <c r="IG8" s="63"/>
      <c r="IH8" s="63"/>
      <c r="II8" s="63"/>
      <c r="IJ8" s="63"/>
      <c r="IK8" s="63"/>
      <c r="IL8" s="63"/>
      <c r="IM8" s="63"/>
      <c r="IN8" s="63"/>
      <c r="IO8" s="63"/>
      <c r="IP8" s="63"/>
      <c r="IQ8" s="63"/>
      <c r="IR8" s="63"/>
      <c r="IS8" s="63"/>
      <c r="IT8" s="63"/>
      <c r="IU8" s="63"/>
      <c r="IV8" s="63"/>
    </row>
    <row r="9" spans="1:256" ht="18" thickBot="1" x14ac:dyDescent="0.35">
      <c r="B9" s="1543"/>
      <c r="C9" s="1544"/>
      <c r="D9" s="1545" t="s">
        <v>6</v>
      </c>
      <c r="E9" s="1546" t="s">
        <v>101</v>
      </c>
      <c r="F9" s="11"/>
      <c r="G9" s="11"/>
      <c r="H9" s="11"/>
      <c r="I9" s="11"/>
      <c r="J9" s="11"/>
      <c r="K9" s="11"/>
      <c r="L9" s="11"/>
      <c r="M9" s="11"/>
      <c r="N9" s="11"/>
      <c r="O9" s="11"/>
      <c r="P9" s="11"/>
      <c r="Q9" s="11"/>
      <c r="R9" s="11"/>
      <c r="S9" s="11"/>
      <c r="T9" s="11"/>
      <c r="U9" s="11"/>
      <c r="V9" s="11"/>
      <c r="W9" s="11"/>
      <c r="X9" s="11"/>
      <c r="Y9" s="11"/>
      <c r="Z9" s="11"/>
      <c r="AA9" s="11"/>
      <c r="AB9" s="11"/>
      <c r="AC9" s="11"/>
      <c r="AD9" s="11"/>
      <c r="AE9" s="11"/>
      <c r="AF9" s="11"/>
      <c r="AG9" s="11"/>
      <c r="AH9" s="11"/>
      <c r="AI9" s="11"/>
      <c r="AJ9" s="11"/>
      <c r="AK9" s="11"/>
      <c r="AL9" s="11"/>
      <c r="AM9" s="11"/>
      <c r="AN9" s="11"/>
      <c r="AO9" s="11"/>
      <c r="AP9" s="11"/>
      <c r="AQ9" s="11"/>
      <c r="AR9" s="11"/>
      <c r="AS9" s="11"/>
      <c r="AT9" s="11"/>
      <c r="AU9" s="11"/>
      <c r="AV9" s="11"/>
      <c r="AW9" s="11"/>
      <c r="AX9" s="11"/>
      <c r="AY9" s="11"/>
      <c r="AZ9" s="11"/>
      <c r="BA9" s="11"/>
      <c r="BB9" s="11"/>
      <c r="BC9" s="11"/>
      <c r="BD9" s="11"/>
      <c r="BE9" s="11"/>
      <c r="BF9" s="11"/>
      <c r="BG9" s="11"/>
      <c r="BH9" s="11"/>
      <c r="BI9" s="11"/>
      <c r="BJ9" s="11"/>
      <c r="BK9" s="11"/>
      <c r="BL9" s="11"/>
      <c r="BM9" s="11"/>
      <c r="BN9" s="11"/>
      <c r="BO9" s="11"/>
      <c r="BP9" s="11"/>
      <c r="BQ9" s="11"/>
      <c r="BR9" s="11"/>
      <c r="BS9" s="11"/>
      <c r="BT9" s="11"/>
      <c r="BU9" s="11"/>
      <c r="BV9" s="11"/>
      <c r="BW9" s="11"/>
      <c r="BX9" s="11"/>
      <c r="BY9" s="11"/>
      <c r="BZ9" s="11"/>
      <c r="CA9" s="11"/>
      <c r="CB9" s="11"/>
      <c r="CC9" s="11"/>
      <c r="CD9" s="11"/>
      <c r="CE9" s="11"/>
      <c r="CF9" s="11"/>
      <c r="CG9" s="11"/>
      <c r="CH9" s="11"/>
      <c r="CI9" s="11"/>
      <c r="CJ9" s="11"/>
      <c r="CK9" s="11"/>
      <c r="CL9" s="11"/>
      <c r="CM9" s="11"/>
      <c r="CN9" s="11"/>
      <c r="CO9" s="11"/>
      <c r="CP9" s="11"/>
      <c r="CQ9" s="11"/>
      <c r="CR9" s="11"/>
      <c r="CS9" s="11"/>
      <c r="CT9" s="11"/>
      <c r="CU9" s="11"/>
      <c r="CV9" s="11"/>
      <c r="CW9" s="11"/>
      <c r="CX9" s="11"/>
      <c r="CY9" s="11"/>
      <c r="CZ9" s="11"/>
      <c r="DA9" s="11"/>
      <c r="DB9" s="11"/>
      <c r="DC9" s="11"/>
      <c r="DD9" s="11"/>
      <c r="DE9" s="11"/>
      <c r="DF9" s="11"/>
      <c r="DG9" s="11"/>
      <c r="DH9" s="11"/>
      <c r="DI9" s="11"/>
      <c r="DJ9" s="11"/>
      <c r="DK9" s="11"/>
      <c r="DL9" s="11"/>
      <c r="DM9" s="11"/>
      <c r="DN9" s="11"/>
      <c r="DO9" s="11"/>
      <c r="DP9" s="11"/>
      <c r="DQ9" s="11"/>
      <c r="DR9" s="11"/>
      <c r="DS9" s="11"/>
      <c r="DT9" s="11"/>
      <c r="DU9" s="11"/>
      <c r="DV9" s="11"/>
      <c r="DW9" s="11"/>
      <c r="DX9" s="11"/>
      <c r="DY9" s="11"/>
      <c r="DZ9" s="11"/>
      <c r="EA9" s="11"/>
      <c r="EB9" s="11"/>
      <c r="EC9" s="11"/>
      <c r="ED9" s="11"/>
      <c r="EE9" s="11"/>
      <c r="EF9" s="11"/>
      <c r="EG9" s="11"/>
      <c r="EH9" s="11"/>
      <c r="EI9" s="11"/>
      <c r="EJ9" s="11"/>
      <c r="EK9" s="11"/>
      <c r="EL9" s="11"/>
      <c r="EM9" s="11"/>
      <c r="EN9" s="11"/>
      <c r="EO9" s="11"/>
      <c r="EP9" s="11"/>
      <c r="EQ9" s="11"/>
      <c r="ER9" s="11"/>
      <c r="ES9" s="11"/>
      <c r="ET9" s="11"/>
      <c r="EU9" s="11"/>
      <c r="EV9" s="11"/>
      <c r="EW9" s="11"/>
      <c r="EX9" s="11"/>
      <c r="EY9" s="11"/>
      <c r="EZ9" s="11"/>
      <c r="FA9" s="11"/>
      <c r="FB9" s="11"/>
      <c r="FC9" s="11"/>
      <c r="FD9" s="11"/>
      <c r="FE9" s="11"/>
      <c r="FF9" s="11"/>
      <c r="FG9" s="11"/>
      <c r="FH9" s="11"/>
      <c r="FI9" s="11"/>
      <c r="FJ9" s="11"/>
      <c r="FK9" s="11"/>
      <c r="FL9" s="11"/>
      <c r="FM9" s="11"/>
      <c r="FN9" s="11"/>
      <c r="FO9" s="11"/>
      <c r="FP9" s="11"/>
      <c r="FQ9" s="11"/>
      <c r="FR9" s="11"/>
      <c r="FS9" s="11"/>
      <c r="FT9" s="11"/>
      <c r="FU9" s="11"/>
      <c r="FV9" s="11"/>
      <c r="FW9" s="11"/>
      <c r="FX9" s="11"/>
      <c r="FY9" s="11"/>
      <c r="FZ9" s="11"/>
      <c r="GA9" s="11"/>
      <c r="GB9" s="11"/>
      <c r="GC9" s="11"/>
      <c r="GD9" s="11"/>
      <c r="GE9" s="11"/>
      <c r="GF9" s="11"/>
      <c r="GG9" s="11"/>
      <c r="GH9" s="11"/>
      <c r="GI9" s="11"/>
      <c r="GJ9" s="11"/>
      <c r="GK9" s="11"/>
      <c r="GL9" s="11"/>
      <c r="GM9" s="11"/>
      <c r="GN9" s="11"/>
      <c r="GO9" s="11"/>
      <c r="GP9" s="11"/>
      <c r="GQ9" s="11"/>
      <c r="GR9" s="11"/>
      <c r="GS9" s="11"/>
      <c r="GT9" s="11"/>
      <c r="GU9" s="11"/>
      <c r="GV9" s="11"/>
      <c r="GW9" s="11"/>
      <c r="GX9" s="11"/>
      <c r="GY9" s="11"/>
      <c r="GZ9" s="11"/>
      <c r="HA9" s="11"/>
      <c r="HB9" s="11"/>
      <c r="HC9" s="11"/>
      <c r="HD9" s="11"/>
      <c r="HE9" s="11"/>
      <c r="HF9" s="11"/>
      <c r="HG9" s="11"/>
      <c r="HH9" s="11"/>
      <c r="HI9" s="11"/>
      <c r="HJ9" s="11"/>
      <c r="HK9" s="11"/>
      <c r="HL9" s="11"/>
      <c r="HM9" s="11"/>
      <c r="HN9" s="11"/>
      <c r="HO9" s="11"/>
      <c r="HP9" s="11"/>
      <c r="HQ9" s="11"/>
      <c r="HR9" s="11"/>
      <c r="HS9" s="11"/>
      <c r="HT9" s="11"/>
      <c r="HU9" s="11"/>
      <c r="HV9" s="11"/>
      <c r="HW9" s="11"/>
      <c r="HX9" s="11"/>
      <c r="HY9" s="11"/>
      <c r="HZ9" s="11"/>
      <c r="IA9" s="11"/>
      <c r="IB9" s="11"/>
      <c r="IC9" s="11"/>
      <c r="ID9" s="11"/>
      <c r="IE9" s="11"/>
      <c r="IF9" s="11"/>
      <c r="IG9" s="11"/>
      <c r="IH9" s="11"/>
      <c r="II9" s="11"/>
      <c r="IJ9" s="11"/>
      <c r="IK9" s="11"/>
      <c r="IL9" s="11"/>
      <c r="IM9" s="11"/>
      <c r="IN9" s="11"/>
      <c r="IO9" s="11"/>
      <c r="IP9" s="11"/>
      <c r="IQ9" s="11"/>
      <c r="IR9" s="11"/>
      <c r="IS9" s="11"/>
      <c r="IT9" s="11"/>
      <c r="IU9" s="11"/>
      <c r="IV9" s="11"/>
    </row>
    <row r="10" spans="1:256" ht="24.75" customHeight="1" x14ac:dyDescent="0.35">
      <c r="A10" s="1403">
        <v>1</v>
      </c>
      <c r="B10" s="64" t="s">
        <v>737</v>
      </c>
      <c r="C10" s="1405"/>
      <c r="D10" s="1406" t="s">
        <v>738</v>
      </c>
      <c r="G10" s="2"/>
    </row>
    <row r="11" spans="1:256" ht="24.75" customHeight="1" x14ac:dyDescent="0.35">
      <c r="A11" s="1403">
        <v>2</v>
      </c>
      <c r="C11" s="1407" t="s">
        <v>739</v>
      </c>
      <c r="D11" s="1547" t="s">
        <v>740</v>
      </c>
      <c r="E11" s="1408"/>
      <c r="G11" s="2"/>
    </row>
    <row r="12" spans="1:256" ht="18" customHeight="1" x14ac:dyDescent="0.3">
      <c r="A12" s="1403">
        <v>3</v>
      </c>
      <c r="D12" s="569" t="s">
        <v>883</v>
      </c>
      <c r="E12" s="2">
        <v>39631</v>
      </c>
      <c r="G12" s="90"/>
    </row>
    <row r="13" spans="1:256" ht="33" x14ac:dyDescent="0.3">
      <c r="A13" s="1403">
        <v>4</v>
      </c>
      <c r="D13" s="569" t="s">
        <v>1129</v>
      </c>
      <c r="E13" s="958">
        <v>3911</v>
      </c>
      <c r="G13" s="958"/>
    </row>
    <row r="14" spans="1:256" x14ac:dyDescent="0.3">
      <c r="A14" s="1403">
        <v>5</v>
      </c>
      <c r="D14" s="569" t="s">
        <v>901</v>
      </c>
      <c r="E14" s="958">
        <v>53275</v>
      </c>
      <c r="G14" s="958"/>
    </row>
    <row r="15" spans="1:256" ht="18" customHeight="1" x14ac:dyDescent="0.3">
      <c r="A15" s="1403">
        <v>6</v>
      </c>
      <c r="D15" s="569" t="s">
        <v>902</v>
      </c>
      <c r="E15" s="958">
        <v>11898</v>
      </c>
      <c r="G15" s="958"/>
      <c r="H15" s="2"/>
      <c r="J15" s="2"/>
    </row>
    <row r="16" spans="1:256" ht="33" x14ac:dyDescent="0.3">
      <c r="A16" s="1403">
        <v>7</v>
      </c>
      <c r="D16" s="569" t="s">
        <v>741</v>
      </c>
      <c r="E16" s="1548">
        <f>1550+1480+1240</f>
        <v>4270</v>
      </c>
      <c r="G16" s="958"/>
    </row>
    <row r="17" spans="1:5" x14ac:dyDescent="0.3">
      <c r="A17" s="1403">
        <v>8</v>
      </c>
      <c r="D17" s="1549" t="s">
        <v>101</v>
      </c>
      <c r="E17" s="963">
        <f>SUM(E12:E16)</f>
        <v>112985</v>
      </c>
    </row>
    <row r="18" spans="1:5" ht="24.75" customHeight="1" x14ac:dyDescent="0.35">
      <c r="A18" s="1403">
        <v>9</v>
      </c>
      <c r="C18" s="1407" t="s">
        <v>742</v>
      </c>
      <c r="D18" s="1550" t="s">
        <v>743</v>
      </c>
      <c r="E18" s="1408"/>
    </row>
    <row r="19" spans="1:5" s="1409" customFormat="1" ht="18" customHeight="1" x14ac:dyDescent="0.3">
      <c r="A19" s="1403">
        <v>10</v>
      </c>
      <c r="C19" s="1551"/>
      <c r="D19" s="1684" t="s">
        <v>744</v>
      </c>
      <c r="E19" s="1778">
        <v>21313</v>
      </c>
    </row>
    <row r="20" spans="1:5" s="1409" customFormat="1" ht="18" customHeight="1" x14ac:dyDescent="0.3">
      <c r="A20" s="1403">
        <v>11</v>
      </c>
      <c r="C20" s="1551"/>
      <c r="D20" s="1684" t="s">
        <v>904</v>
      </c>
      <c r="E20" s="958">
        <v>138710</v>
      </c>
    </row>
    <row r="21" spans="1:5" s="1409" customFormat="1" ht="33.75" customHeight="1" x14ac:dyDescent="0.3">
      <c r="A21" s="1403">
        <v>12</v>
      </c>
      <c r="C21" s="1551"/>
      <c r="D21" s="1684" t="s">
        <v>1018</v>
      </c>
      <c r="E21" s="958">
        <v>5717</v>
      </c>
    </row>
    <row r="22" spans="1:5" s="1409" customFormat="1" ht="18" customHeight="1" x14ac:dyDescent="0.3">
      <c r="A22" s="1403">
        <v>13</v>
      </c>
      <c r="C22" s="1551"/>
      <c r="D22" s="1409" t="s">
        <v>1019</v>
      </c>
      <c r="E22" s="958">
        <f>124705</f>
        <v>124705</v>
      </c>
    </row>
    <row r="23" spans="1:5" s="1409" customFormat="1" ht="33" customHeight="1" x14ac:dyDescent="0.3">
      <c r="A23" s="1403">
        <v>14</v>
      </c>
      <c r="C23" s="1551"/>
      <c r="D23" s="1684" t="s">
        <v>1020</v>
      </c>
      <c r="E23" s="958">
        <v>500</v>
      </c>
    </row>
    <row r="24" spans="1:5" s="1409" customFormat="1" ht="33" customHeight="1" x14ac:dyDescent="0.3">
      <c r="A24" s="1403">
        <v>15</v>
      </c>
      <c r="C24" s="1551"/>
      <c r="D24" s="1684" t="s">
        <v>1022</v>
      </c>
      <c r="E24" s="958">
        <v>943</v>
      </c>
    </row>
    <row r="25" spans="1:5" s="1409" customFormat="1" ht="30.75" customHeight="1" x14ac:dyDescent="0.3">
      <c r="A25" s="1403">
        <v>16</v>
      </c>
      <c r="C25" s="1551"/>
      <c r="D25" s="1684" t="s">
        <v>1023</v>
      </c>
      <c r="E25" s="958">
        <v>5334</v>
      </c>
    </row>
    <row r="26" spans="1:5" s="1409" customFormat="1" ht="32.25" customHeight="1" x14ac:dyDescent="0.3">
      <c r="A26" s="1403">
        <v>17</v>
      </c>
      <c r="C26" s="1551"/>
      <c r="D26" s="1684" t="s">
        <v>1024</v>
      </c>
      <c r="E26" s="958">
        <v>10350</v>
      </c>
    </row>
    <row r="27" spans="1:5" s="1409" customFormat="1" ht="32.25" customHeight="1" x14ac:dyDescent="0.3">
      <c r="A27" s="1403">
        <v>18</v>
      </c>
      <c r="C27" s="1551"/>
      <c r="D27" s="1684" t="s">
        <v>1025</v>
      </c>
      <c r="E27" s="958">
        <v>8060</v>
      </c>
    </row>
    <row r="28" spans="1:5" s="1409" customFormat="1" ht="33" customHeight="1" x14ac:dyDescent="0.3">
      <c r="A28" s="1403">
        <v>19</v>
      </c>
      <c r="C28" s="1551"/>
      <c r="D28" s="1684" t="s">
        <v>1026</v>
      </c>
      <c r="E28" s="958">
        <v>1905</v>
      </c>
    </row>
    <row r="29" spans="1:5" s="1409" customFormat="1" ht="32.25" customHeight="1" x14ac:dyDescent="0.3">
      <c r="A29" s="1403">
        <v>20</v>
      </c>
      <c r="C29" s="1551"/>
      <c r="D29" s="1684" t="s">
        <v>1028</v>
      </c>
      <c r="E29" s="958">
        <v>3810</v>
      </c>
    </row>
    <row r="30" spans="1:5" s="1409" customFormat="1" ht="33.75" customHeight="1" x14ac:dyDescent="0.3">
      <c r="A30" s="1403">
        <v>21</v>
      </c>
      <c r="C30" s="1551"/>
      <c r="D30" s="1684" t="s">
        <v>1029</v>
      </c>
      <c r="E30" s="958">
        <f>8000+1040+19663</f>
        <v>28703</v>
      </c>
    </row>
    <row r="31" spans="1:5" s="1409" customFormat="1" ht="36" customHeight="1" x14ac:dyDescent="0.3">
      <c r="A31" s="1403">
        <v>22</v>
      </c>
      <c r="C31" s="1551"/>
      <c r="D31" s="1684" t="s">
        <v>1118</v>
      </c>
      <c r="E31" s="1548">
        <v>12249</v>
      </c>
    </row>
    <row r="32" spans="1:5" s="1409" customFormat="1" ht="18" customHeight="1" x14ac:dyDescent="0.3">
      <c r="A32" s="1403">
        <v>23</v>
      </c>
      <c r="C32" s="1551"/>
      <c r="D32" s="1549" t="s">
        <v>101</v>
      </c>
      <c r="E32" s="1552">
        <f>SUM(E19:E31)</f>
        <v>362299</v>
      </c>
    </row>
    <row r="33" spans="1:256" ht="24.75" customHeight="1" x14ac:dyDescent="0.35">
      <c r="A33" s="1403">
        <v>24</v>
      </c>
      <c r="C33" s="1407" t="s">
        <v>745</v>
      </c>
      <c r="D33" s="1550" t="s">
        <v>746</v>
      </c>
      <c r="E33" s="1408"/>
    </row>
    <row r="34" spans="1:256" ht="34.5" customHeight="1" x14ac:dyDescent="0.3">
      <c r="A34" s="1403">
        <v>25</v>
      </c>
      <c r="C34" s="1407"/>
      <c r="D34" s="1684" t="s">
        <v>747</v>
      </c>
      <c r="E34" s="958">
        <v>13797</v>
      </c>
    </row>
    <row r="35" spans="1:256" ht="34.5" customHeight="1" x14ac:dyDescent="0.3">
      <c r="A35" s="1403">
        <v>26</v>
      </c>
      <c r="C35" s="1407"/>
      <c r="D35" s="1684" t="s">
        <v>913</v>
      </c>
      <c r="E35" s="958">
        <v>100</v>
      </c>
    </row>
    <row r="36" spans="1:256" ht="18" customHeight="1" x14ac:dyDescent="0.3">
      <c r="A36" s="1403">
        <v>27</v>
      </c>
      <c r="C36" s="1407"/>
      <c r="D36" s="1684" t="s">
        <v>1040</v>
      </c>
      <c r="E36" s="958">
        <v>3000</v>
      </c>
    </row>
    <row r="37" spans="1:256" ht="18" customHeight="1" x14ac:dyDescent="0.3">
      <c r="A37" s="1403">
        <v>28</v>
      </c>
      <c r="C37" s="1407"/>
      <c r="D37" s="1409" t="s">
        <v>990</v>
      </c>
      <c r="E37" s="958">
        <v>894</v>
      </c>
    </row>
    <row r="38" spans="1:256" ht="18" customHeight="1" x14ac:dyDescent="0.3">
      <c r="A38" s="1403">
        <v>29</v>
      </c>
      <c r="C38" s="1407"/>
      <c r="D38" s="1409" t="s">
        <v>1086</v>
      </c>
      <c r="E38" s="1548">
        <v>32000</v>
      </c>
    </row>
    <row r="39" spans="1:256" ht="18" customHeight="1" x14ac:dyDescent="0.3">
      <c r="A39" s="1403">
        <v>30</v>
      </c>
      <c r="C39" s="1407"/>
      <c r="D39" s="1549" t="s">
        <v>101</v>
      </c>
      <c r="E39" s="1553">
        <f>SUM(E34:E38)</f>
        <v>49791</v>
      </c>
    </row>
    <row r="40" spans="1:256" ht="24.75" customHeight="1" x14ac:dyDescent="0.35">
      <c r="A40" s="1403">
        <v>31</v>
      </c>
      <c r="B40" s="50"/>
      <c r="C40" s="1407" t="s">
        <v>748</v>
      </c>
      <c r="D40" s="1550" t="s">
        <v>825</v>
      </c>
      <c r="E40" s="1554"/>
      <c r="F40" s="1410"/>
      <c r="G40" s="1410"/>
      <c r="H40" s="1410"/>
      <c r="I40" s="50"/>
      <c r="J40" s="50"/>
      <c r="K40" s="50"/>
      <c r="L40" s="50"/>
      <c r="M40" s="50"/>
      <c r="N40" s="50"/>
      <c r="O40" s="50"/>
      <c r="P40" s="50"/>
      <c r="Q40" s="50"/>
      <c r="R40" s="50"/>
      <c r="S40" s="50"/>
      <c r="T40" s="50"/>
      <c r="U40" s="50"/>
      <c r="V40" s="50"/>
      <c r="W40" s="50"/>
      <c r="X40" s="50"/>
      <c r="Y40" s="50"/>
      <c r="Z40" s="50"/>
      <c r="AA40" s="50"/>
      <c r="AB40" s="50"/>
      <c r="AC40" s="50"/>
      <c r="AD40" s="50"/>
      <c r="AE40" s="50"/>
      <c r="AF40" s="50"/>
      <c r="AG40" s="50"/>
      <c r="AH40" s="50"/>
      <c r="AI40" s="50"/>
      <c r="AJ40" s="50"/>
      <c r="AK40" s="50"/>
      <c r="AL40" s="50"/>
      <c r="AM40" s="50"/>
      <c r="AN40" s="50"/>
      <c r="AO40" s="50"/>
      <c r="AP40" s="50"/>
      <c r="AQ40" s="50"/>
      <c r="AR40" s="50"/>
      <c r="AS40" s="50"/>
      <c r="AT40" s="50"/>
      <c r="AU40" s="50"/>
      <c r="AV40" s="50"/>
      <c r="AW40" s="50"/>
      <c r="AX40" s="50"/>
      <c r="AY40" s="50"/>
      <c r="AZ40" s="50"/>
      <c r="BA40" s="50"/>
      <c r="BB40" s="50"/>
      <c r="BC40" s="50"/>
      <c r="BD40" s="50"/>
      <c r="BE40" s="50"/>
      <c r="BF40" s="50"/>
      <c r="BG40" s="50"/>
      <c r="BH40" s="50"/>
      <c r="BI40" s="50"/>
      <c r="BJ40" s="50"/>
      <c r="BK40" s="50"/>
      <c r="BL40" s="50"/>
      <c r="BM40" s="50"/>
      <c r="BN40" s="50"/>
      <c r="BO40" s="50"/>
      <c r="BP40" s="50"/>
      <c r="BQ40" s="50"/>
      <c r="BR40" s="50"/>
      <c r="BS40" s="50"/>
      <c r="BT40" s="50"/>
      <c r="BU40" s="50"/>
      <c r="BV40" s="50"/>
      <c r="BW40" s="50"/>
      <c r="BX40" s="50"/>
      <c r="BY40" s="50"/>
      <c r="BZ40" s="50"/>
      <c r="CA40" s="50"/>
      <c r="CB40" s="50"/>
      <c r="CC40" s="50"/>
      <c r="CD40" s="50"/>
      <c r="CE40" s="50"/>
      <c r="CF40" s="50"/>
      <c r="CG40" s="50"/>
      <c r="CH40" s="50"/>
      <c r="CI40" s="50"/>
      <c r="CJ40" s="50"/>
      <c r="CK40" s="50"/>
      <c r="CL40" s="50"/>
      <c r="CM40" s="50"/>
      <c r="CN40" s="50"/>
      <c r="CO40" s="50"/>
      <c r="CP40" s="50"/>
      <c r="CQ40" s="50"/>
      <c r="CR40" s="50"/>
      <c r="CS40" s="50"/>
      <c r="CT40" s="50"/>
      <c r="CU40" s="50"/>
      <c r="CV40" s="50"/>
      <c r="CW40" s="50"/>
      <c r="CX40" s="50"/>
      <c r="CY40" s="50"/>
      <c r="CZ40" s="50"/>
      <c r="DA40" s="50"/>
      <c r="DB40" s="50"/>
      <c r="DC40" s="50"/>
      <c r="DD40" s="50"/>
      <c r="DE40" s="50"/>
      <c r="DF40" s="50"/>
      <c r="DG40" s="50"/>
      <c r="DH40" s="50"/>
      <c r="DI40" s="50"/>
      <c r="DJ40" s="50"/>
      <c r="DK40" s="50"/>
      <c r="DL40" s="50"/>
      <c r="DM40" s="50"/>
      <c r="DN40" s="50"/>
      <c r="DO40" s="50"/>
      <c r="DP40" s="50"/>
      <c r="DQ40" s="50"/>
      <c r="DR40" s="50"/>
      <c r="DS40" s="50"/>
      <c r="DT40" s="50"/>
      <c r="DU40" s="50"/>
      <c r="DV40" s="50"/>
      <c r="DW40" s="50"/>
      <c r="DX40" s="50"/>
      <c r="DY40" s="50"/>
      <c r="DZ40" s="50"/>
      <c r="EA40" s="50"/>
      <c r="EB40" s="50"/>
      <c r="EC40" s="50"/>
      <c r="ED40" s="50"/>
      <c r="EE40" s="50"/>
      <c r="EF40" s="50"/>
      <c r="EG40" s="50"/>
      <c r="EH40" s="50"/>
      <c r="EI40" s="50"/>
      <c r="EJ40" s="50"/>
      <c r="EK40" s="50"/>
      <c r="EL40" s="50"/>
      <c r="EM40" s="50"/>
      <c r="EN40" s="50"/>
      <c r="EO40" s="50"/>
      <c r="EP40" s="50"/>
      <c r="EQ40" s="50"/>
      <c r="ER40" s="50"/>
      <c r="ES40" s="50"/>
      <c r="ET40" s="50"/>
      <c r="EU40" s="50"/>
      <c r="EV40" s="50"/>
      <c r="EW40" s="50"/>
      <c r="EX40" s="50"/>
      <c r="EY40" s="50"/>
      <c r="EZ40" s="50"/>
      <c r="FA40" s="50"/>
      <c r="FB40" s="50"/>
      <c r="FC40" s="50"/>
      <c r="FD40" s="50"/>
      <c r="FE40" s="50"/>
      <c r="FF40" s="50"/>
      <c r="FG40" s="50"/>
      <c r="FH40" s="50"/>
      <c r="FI40" s="50"/>
      <c r="FJ40" s="50"/>
      <c r="FK40" s="50"/>
      <c r="FL40" s="50"/>
      <c r="FM40" s="50"/>
      <c r="FN40" s="50"/>
      <c r="FO40" s="50"/>
      <c r="FP40" s="50"/>
      <c r="FQ40" s="50"/>
      <c r="FR40" s="50"/>
      <c r="FS40" s="50"/>
      <c r="FT40" s="50"/>
      <c r="FU40" s="50"/>
      <c r="FV40" s="50"/>
      <c r="FW40" s="50"/>
      <c r="FX40" s="50"/>
      <c r="FY40" s="50"/>
      <c r="FZ40" s="50"/>
      <c r="GA40" s="50"/>
      <c r="GB40" s="50"/>
      <c r="GC40" s="50"/>
      <c r="GD40" s="50"/>
      <c r="GE40" s="50"/>
      <c r="GF40" s="50"/>
      <c r="GG40" s="50"/>
      <c r="GH40" s="50"/>
      <c r="GI40" s="50"/>
      <c r="GJ40" s="50"/>
      <c r="GK40" s="50"/>
      <c r="GL40" s="50"/>
      <c r="GM40" s="50"/>
      <c r="GN40" s="50"/>
      <c r="GO40" s="50"/>
      <c r="GP40" s="50"/>
      <c r="GQ40" s="50"/>
      <c r="GR40" s="50"/>
      <c r="GS40" s="50"/>
      <c r="GT40" s="50"/>
      <c r="GU40" s="50"/>
      <c r="GV40" s="50"/>
      <c r="GW40" s="50"/>
      <c r="GX40" s="50"/>
      <c r="GY40" s="50"/>
      <c r="GZ40" s="50"/>
      <c r="HA40" s="50"/>
      <c r="HB40" s="50"/>
      <c r="HC40" s="50"/>
      <c r="HD40" s="50"/>
      <c r="HE40" s="50"/>
      <c r="HF40" s="50"/>
      <c r="HG40" s="50"/>
      <c r="HH40" s="50"/>
      <c r="HI40" s="50"/>
      <c r="HJ40" s="50"/>
      <c r="HK40" s="50"/>
      <c r="HL40" s="50"/>
      <c r="HM40" s="50"/>
      <c r="HN40" s="50"/>
      <c r="HO40" s="50"/>
      <c r="HP40" s="50"/>
      <c r="HQ40" s="50"/>
      <c r="HR40" s="50"/>
      <c r="HS40" s="50"/>
      <c r="HT40" s="50"/>
      <c r="HU40" s="50"/>
      <c r="HV40" s="50"/>
      <c r="HW40" s="50"/>
      <c r="HX40" s="50"/>
      <c r="HY40" s="50"/>
      <c r="HZ40" s="50"/>
      <c r="IA40" s="50"/>
      <c r="IB40" s="50"/>
      <c r="IC40" s="50"/>
      <c r="ID40" s="50"/>
      <c r="IE40" s="50"/>
      <c r="IF40" s="50"/>
      <c r="IG40" s="50"/>
      <c r="IH40" s="50"/>
      <c r="II40" s="50"/>
      <c r="IJ40" s="50"/>
      <c r="IK40" s="50"/>
      <c r="IL40" s="50"/>
      <c r="IM40" s="50"/>
      <c r="IN40" s="50"/>
      <c r="IO40" s="50"/>
      <c r="IP40" s="50"/>
      <c r="IQ40" s="50"/>
      <c r="IR40" s="50"/>
      <c r="IS40" s="50"/>
      <c r="IT40" s="50"/>
      <c r="IU40" s="50"/>
      <c r="IV40" s="50"/>
    </row>
    <row r="41" spans="1:256" ht="18" customHeight="1" x14ac:dyDescent="0.35">
      <c r="A41" s="1403">
        <v>32</v>
      </c>
      <c r="B41" s="50"/>
      <c r="C41" s="19"/>
      <c r="D41" s="1684" t="s">
        <v>396</v>
      </c>
      <c r="E41" s="1555">
        <v>1200</v>
      </c>
      <c r="F41" s="1410"/>
      <c r="G41" s="1410"/>
      <c r="H41" s="1410"/>
      <c r="I41" s="50"/>
      <c r="J41" s="50"/>
      <c r="K41" s="50"/>
      <c r="L41" s="50"/>
      <c r="M41" s="50"/>
      <c r="N41" s="50"/>
      <c r="O41" s="50"/>
      <c r="P41" s="50"/>
      <c r="Q41" s="50"/>
      <c r="R41" s="50"/>
      <c r="S41" s="50"/>
      <c r="T41" s="50"/>
      <c r="U41" s="50"/>
      <c r="V41" s="50"/>
      <c r="W41" s="50"/>
      <c r="X41" s="50"/>
      <c r="Y41" s="50"/>
      <c r="Z41" s="50"/>
      <c r="AA41" s="50"/>
      <c r="AB41" s="50"/>
      <c r="AC41" s="50"/>
      <c r="AD41" s="50"/>
      <c r="AE41" s="50"/>
      <c r="AF41" s="50"/>
      <c r="AG41" s="50"/>
      <c r="AH41" s="50"/>
      <c r="AI41" s="50"/>
      <c r="AJ41" s="50"/>
      <c r="AK41" s="50"/>
      <c r="AL41" s="50"/>
      <c r="AM41" s="50"/>
      <c r="AN41" s="50"/>
      <c r="AO41" s="50"/>
      <c r="AP41" s="50"/>
      <c r="AQ41" s="50"/>
      <c r="AR41" s="50"/>
      <c r="AS41" s="50"/>
      <c r="AT41" s="50"/>
      <c r="AU41" s="50"/>
      <c r="AV41" s="50"/>
      <c r="AW41" s="50"/>
      <c r="AX41" s="50"/>
      <c r="AY41" s="50"/>
      <c r="AZ41" s="50"/>
      <c r="BA41" s="50"/>
      <c r="BB41" s="50"/>
      <c r="BC41" s="50"/>
      <c r="BD41" s="50"/>
      <c r="BE41" s="50"/>
      <c r="BF41" s="50"/>
      <c r="BG41" s="50"/>
      <c r="BH41" s="50"/>
      <c r="BI41" s="50"/>
      <c r="BJ41" s="50"/>
      <c r="BK41" s="50"/>
      <c r="BL41" s="50"/>
      <c r="BM41" s="50"/>
      <c r="BN41" s="50"/>
      <c r="BO41" s="50"/>
      <c r="BP41" s="50"/>
      <c r="BQ41" s="50"/>
      <c r="BR41" s="50"/>
      <c r="BS41" s="50"/>
      <c r="BT41" s="50"/>
      <c r="BU41" s="50"/>
      <c r="BV41" s="50"/>
      <c r="BW41" s="50"/>
      <c r="BX41" s="50"/>
      <c r="BY41" s="50"/>
      <c r="BZ41" s="50"/>
      <c r="CA41" s="50"/>
      <c r="CB41" s="50"/>
      <c r="CC41" s="50"/>
      <c r="CD41" s="50"/>
      <c r="CE41" s="50"/>
      <c r="CF41" s="50"/>
      <c r="CG41" s="50"/>
      <c r="CH41" s="50"/>
      <c r="CI41" s="50"/>
      <c r="CJ41" s="50"/>
      <c r="CK41" s="50"/>
      <c r="CL41" s="50"/>
      <c r="CM41" s="50"/>
      <c r="CN41" s="50"/>
      <c r="CO41" s="50"/>
      <c r="CP41" s="50"/>
      <c r="CQ41" s="50"/>
      <c r="CR41" s="50"/>
      <c r="CS41" s="50"/>
      <c r="CT41" s="50"/>
      <c r="CU41" s="50"/>
      <c r="CV41" s="50"/>
      <c r="CW41" s="50"/>
      <c r="CX41" s="50"/>
      <c r="CY41" s="50"/>
      <c r="CZ41" s="50"/>
      <c r="DA41" s="50"/>
      <c r="DB41" s="50"/>
      <c r="DC41" s="50"/>
      <c r="DD41" s="50"/>
      <c r="DE41" s="50"/>
      <c r="DF41" s="50"/>
      <c r="DG41" s="50"/>
      <c r="DH41" s="50"/>
      <c r="DI41" s="50"/>
      <c r="DJ41" s="50"/>
      <c r="DK41" s="50"/>
      <c r="DL41" s="50"/>
      <c r="DM41" s="50"/>
      <c r="DN41" s="50"/>
      <c r="DO41" s="50"/>
      <c r="DP41" s="50"/>
      <c r="DQ41" s="50"/>
      <c r="DR41" s="50"/>
      <c r="DS41" s="50"/>
      <c r="DT41" s="50"/>
      <c r="DU41" s="50"/>
      <c r="DV41" s="50"/>
      <c r="DW41" s="50"/>
      <c r="DX41" s="50"/>
      <c r="DY41" s="50"/>
      <c r="DZ41" s="50"/>
      <c r="EA41" s="50"/>
      <c r="EB41" s="50"/>
      <c r="EC41" s="50"/>
      <c r="ED41" s="50"/>
      <c r="EE41" s="50"/>
      <c r="EF41" s="50"/>
      <c r="EG41" s="50"/>
      <c r="EH41" s="50"/>
      <c r="EI41" s="50"/>
      <c r="EJ41" s="50"/>
      <c r="EK41" s="50"/>
      <c r="EL41" s="50"/>
      <c r="EM41" s="50"/>
      <c r="EN41" s="50"/>
      <c r="EO41" s="50"/>
      <c r="EP41" s="50"/>
      <c r="EQ41" s="50"/>
      <c r="ER41" s="50"/>
      <c r="ES41" s="50"/>
      <c r="ET41" s="50"/>
      <c r="EU41" s="50"/>
      <c r="EV41" s="50"/>
      <c r="EW41" s="50"/>
      <c r="EX41" s="50"/>
      <c r="EY41" s="50"/>
      <c r="EZ41" s="50"/>
      <c r="FA41" s="50"/>
      <c r="FB41" s="50"/>
      <c r="FC41" s="50"/>
      <c r="FD41" s="50"/>
      <c r="FE41" s="50"/>
      <c r="FF41" s="50"/>
      <c r="FG41" s="50"/>
      <c r="FH41" s="50"/>
      <c r="FI41" s="50"/>
      <c r="FJ41" s="50"/>
      <c r="FK41" s="50"/>
      <c r="FL41" s="50"/>
      <c r="FM41" s="50"/>
      <c r="FN41" s="50"/>
      <c r="FO41" s="50"/>
      <c r="FP41" s="50"/>
      <c r="FQ41" s="50"/>
      <c r="FR41" s="50"/>
      <c r="FS41" s="50"/>
      <c r="FT41" s="50"/>
      <c r="FU41" s="50"/>
      <c r="FV41" s="50"/>
      <c r="FW41" s="50"/>
      <c r="FX41" s="50"/>
      <c r="FY41" s="50"/>
      <c r="FZ41" s="50"/>
      <c r="GA41" s="50"/>
      <c r="GB41" s="50"/>
      <c r="GC41" s="50"/>
      <c r="GD41" s="50"/>
      <c r="GE41" s="50"/>
      <c r="GF41" s="50"/>
      <c r="GG41" s="50"/>
      <c r="GH41" s="50"/>
      <c r="GI41" s="50"/>
      <c r="GJ41" s="50"/>
      <c r="GK41" s="50"/>
      <c r="GL41" s="50"/>
      <c r="GM41" s="50"/>
      <c r="GN41" s="50"/>
      <c r="GO41" s="50"/>
      <c r="GP41" s="50"/>
      <c r="GQ41" s="50"/>
      <c r="GR41" s="50"/>
      <c r="GS41" s="50"/>
      <c r="GT41" s="50"/>
      <c r="GU41" s="50"/>
      <c r="GV41" s="50"/>
      <c r="GW41" s="50"/>
      <c r="GX41" s="50"/>
      <c r="GY41" s="50"/>
      <c r="GZ41" s="50"/>
      <c r="HA41" s="50"/>
      <c r="HB41" s="50"/>
      <c r="HC41" s="50"/>
      <c r="HD41" s="50"/>
      <c r="HE41" s="50"/>
      <c r="HF41" s="50"/>
      <c r="HG41" s="50"/>
      <c r="HH41" s="50"/>
      <c r="HI41" s="50"/>
      <c r="HJ41" s="50"/>
      <c r="HK41" s="50"/>
      <c r="HL41" s="50"/>
      <c r="HM41" s="50"/>
      <c r="HN41" s="50"/>
      <c r="HO41" s="50"/>
      <c r="HP41" s="50"/>
      <c r="HQ41" s="50"/>
      <c r="HR41" s="50"/>
      <c r="HS41" s="50"/>
      <c r="HT41" s="50"/>
      <c r="HU41" s="50"/>
      <c r="HV41" s="50"/>
      <c r="HW41" s="50"/>
      <c r="HX41" s="50"/>
      <c r="HY41" s="50"/>
      <c r="HZ41" s="50"/>
      <c r="IA41" s="50"/>
      <c r="IB41" s="50"/>
      <c r="IC41" s="50"/>
      <c r="ID41" s="50"/>
      <c r="IE41" s="50"/>
      <c r="IF41" s="50"/>
      <c r="IG41" s="50"/>
      <c r="IH41" s="50"/>
      <c r="II41" s="50"/>
      <c r="IJ41" s="50"/>
      <c r="IK41" s="50"/>
      <c r="IL41" s="50"/>
      <c r="IM41" s="50"/>
      <c r="IN41" s="50"/>
      <c r="IO41" s="50"/>
      <c r="IP41" s="50"/>
      <c r="IQ41" s="50"/>
      <c r="IR41" s="50"/>
      <c r="IS41" s="50"/>
      <c r="IT41" s="50"/>
      <c r="IU41" s="50"/>
      <c r="IV41" s="50"/>
    </row>
    <row r="42" spans="1:256" ht="24.75" customHeight="1" x14ac:dyDescent="0.35">
      <c r="A42" s="1403">
        <v>33</v>
      </c>
      <c r="B42" s="50"/>
      <c r="C42" s="1407" t="s">
        <v>749</v>
      </c>
      <c r="D42" s="1550" t="s">
        <v>1123</v>
      </c>
      <c r="E42" s="1555"/>
      <c r="F42" s="1410"/>
      <c r="G42" s="1410"/>
      <c r="H42" s="1410"/>
      <c r="I42" s="50"/>
      <c r="J42" s="50"/>
      <c r="K42" s="50"/>
      <c r="L42" s="50"/>
      <c r="M42" s="50"/>
      <c r="N42" s="50"/>
      <c r="O42" s="50"/>
      <c r="P42" s="50"/>
      <c r="Q42" s="50"/>
      <c r="R42" s="50"/>
      <c r="S42" s="50"/>
      <c r="T42" s="50"/>
      <c r="U42" s="50"/>
      <c r="V42" s="50"/>
      <c r="W42" s="50"/>
      <c r="X42" s="50"/>
      <c r="Y42" s="50"/>
      <c r="Z42" s="50"/>
      <c r="AA42" s="50"/>
      <c r="AB42" s="50"/>
      <c r="AC42" s="50"/>
      <c r="AD42" s="50"/>
      <c r="AE42" s="50"/>
      <c r="AF42" s="50"/>
      <c r="AG42" s="50"/>
      <c r="AH42" s="50"/>
      <c r="AI42" s="50"/>
      <c r="AJ42" s="50"/>
      <c r="AK42" s="50"/>
      <c r="AL42" s="50"/>
      <c r="AM42" s="50"/>
      <c r="AN42" s="50"/>
      <c r="AO42" s="50"/>
      <c r="AP42" s="50"/>
      <c r="AQ42" s="50"/>
      <c r="AR42" s="50"/>
      <c r="AS42" s="50"/>
      <c r="AT42" s="50"/>
      <c r="AU42" s="50"/>
      <c r="AV42" s="50"/>
      <c r="AW42" s="50"/>
      <c r="AX42" s="50"/>
      <c r="AY42" s="50"/>
      <c r="AZ42" s="50"/>
      <c r="BA42" s="50"/>
      <c r="BB42" s="50"/>
      <c r="BC42" s="50"/>
      <c r="BD42" s="50"/>
      <c r="BE42" s="50"/>
      <c r="BF42" s="50"/>
      <c r="BG42" s="50"/>
      <c r="BH42" s="50"/>
      <c r="BI42" s="50"/>
      <c r="BJ42" s="50"/>
      <c r="BK42" s="50"/>
      <c r="BL42" s="50"/>
      <c r="BM42" s="50"/>
      <c r="BN42" s="50"/>
      <c r="BO42" s="50"/>
      <c r="BP42" s="50"/>
      <c r="BQ42" s="50"/>
      <c r="BR42" s="50"/>
      <c r="BS42" s="50"/>
      <c r="BT42" s="50"/>
      <c r="BU42" s="50"/>
      <c r="BV42" s="50"/>
      <c r="BW42" s="50"/>
      <c r="BX42" s="50"/>
      <c r="BY42" s="50"/>
      <c r="BZ42" s="50"/>
      <c r="CA42" s="50"/>
      <c r="CB42" s="50"/>
      <c r="CC42" s="50"/>
      <c r="CD42" s="50"/>
      <c r="CE42" s="50"/>
      <c r="CF42" s="50"/>
      <c r="CG42" s="50"/>
      <c r="CH42" s="50"/>
      <c r="CI42" s="50"/>
      <c r="CJ42" s="50"/>
      <c r="CK42" s="50"/>
      <c r="CL42" s="50"/>
      <c r="CM42" s="50"/>
      <c r="CN42" s="50"/>
      <c r="CO42" s="50"/>
      <c r="CP42" s="50"/>
      <c r="CQ42" s="50"/>
      <c r="CR42" s="50"/>
      <c r="CS42" s="50"/>
      <c r="CT42" s="50"/>
      <c r="CU42" s="50"/>
      <c r="CV42" s="50"/>
      <c r="CW42" s="50"/>
      <c r="CX42" s="50"/>
      <c r="CY42" s="50"/>
      <c r="CZ42" s="50"/>
      <c r="DA42" s="50"/>
      <c r="DB42" s="50"/>
      <c r="DC42" s="50"/>
      <c r="DD42" s="50"/>
      <c r="DE42" s="50"/>
      <c r="DF42" s="50"/>
      <c r="DG42" s="50"/>
      <c r="DH42" s="50"/>
      <c r="DI42" s="50"/>
      <c r="DJ42" s="50"/>
      <c r="DK42" s="50"/>
      <c r="DL42" s="50"/>
      <c r="DM42" s="50"/>
      <c r="DN42" s="50"/>
      <c r="DO42" s="50"/>
      <c r="DP42" s="50"/>
      <c r="DQ42" s="50"/>
      <c r="DR42" s="50"/>
      <c r="DS42" s="50"/>
      <c r="DT42" s="50"/>
      <c r="DU42" s="50"/>
      <c r="DV42" s="50"/>
      <c r="DW42" s="50"/>
      <c r="DX42" s="50"/>
      <c r="DY42" s="50"/>
      <c r="DZ42" s="50"/>
      <c r="EA42" s="50"/>
      <c r="EB42" s="50"/>
      <c r="EC42" s="50"/>
      <c r="ED42" s="50"/>
      <c r="EE42" s="50"/>
      <c r="EF42" s="50"/>
      <c r="EG42" s="50"/>
      <c r="EH42" s="50"/>
      <c r="EI42" s="50"/>
      <c r="EJ42" s="50"/>
      <c r="EK42" s="50"/>
      <c r="EL42" s="50"/>
      <c r="EM42" s="50"/>
      <c r="EN42" s="50"/>
      <c r="EO42" s="50"/>
      <c r="EP42" s="50"/>
      <c r="EQ42" s="50"/>
      <c r="ER42" s="50"/>
      <c r="ES42" s="50"/>
      <c r="ET42" s="50"/>
      <c r="EU42" s="50"/>
      <c r="EV42" s="50"/>
      <c r="EW42" s="50"/>
      <c r="EX42" s="50"/>
      <c r="EY42" s="50"/>
      <c r="EZ42" s="50"/>
      <c r="FA42" s="50"/>
      <c r="FB42" s="50"/>
      <c r="FC42" s="50"/>
      <c r="FD42" s="50"/>
      <c r="FE42" s="50"/>
      <c r="FF42" s="50"/>
      <c r="FG42" s="50"/>
      <c r="FH42" s="50"/>
      <c r="FI42" s="50"/>
      <c r="FJ42" s="50"/>
      <c r="FK42" s="50"/>
      <c r="FL42" s="50"/>
      <c r="FM42" s="50"/>
      <c r="FN42" s="50"/>
      <c r="FO42" s="50"/>
      <c r="FP42" s="50"/>
      <c r="FQ42" s="50"/>
      <c r="FR42" s="50"/>
      <c r="FS42" s="50"/>
      <c r="FT42" s="50"/>
      <c r="FU42" s="50"/>
      <c r="FV42" s="50"/>
      <c r="FW42" s="50"/>
      <c r="FX42" s="50"/>
      <c r="FY42" s="50"/>
      <c r="FZ42" s="50"/>
      <c r="GA42" s="50"/>
      <c r="GB42" s="50"/>
      <c r="GC42" s="50"/>
      <c r="GD42" s="50"/>
      <c r="GE42" s="50"/>
      <c r="GF42" s="50"/>
      <c r="GG42" s="50"/>
      <c r="GH42" s="50"/>
      <c r="GI42" s="50"/>
      <c r="GJ42" s="50"/>
      <c r="GK42" s="50"/>
      <c r="GL42" s="50"/>
      <c r="GM42" s="50"/>
      <c r="GN42" s="50"/>
      <c r="GO42" s="50"/>
      <c r="GP42" s="50"/>
      <c r="GQ42" s="50"/>
      <c r="GR42" s="50"/>
      <c r="GS42" s="50"/>
      <c r="GT42" s="50"/>
      <c r="GU42" s="50"/>
      <c r="GV42" s="50"/>
      <c r="GW42" s="50"/>
      <c r="GX42" s="50"/>
      <c r="GY42" s="50"/>
      <c r="GZ42" s="50"/>
      <c r="HA42" s="50"/>
      <c r="HB42" s="50"/>
      <c r="HC42" s="50"/>
      <c r="HD42" s="50"/>
      <c r="HE42" s="50"/>
      <c r="HF42" s="50"/>
      <c r="HG42" s="50"/>
      <c r="HH42" s="50"/>
      <c r="HI42" s="50"/>
      <c r="HJ42" s="50"/>
      <c r="HK42" s="50"/>
      <c r="HL42" s="50"/>
      <c r="HM42" s="50"/>
      <c r="HN42" s="50"/>
      <c r="HO42" s="50"/>
      <c r="HP42" s="50"/>
      <c r="HQ42" s="50"/>
      <c r="HR42" s="50"/>
      <c r="HS42" s="50"/>
      <c r="HT42" s="50"/>
      <c r="HU42" s="50"/>
      <c r="HV42" s="50"/>
      <c r="HW42" s="50"/>
      <c r="HX42" s="50"/>
      <c r="HY42" s="50"/>
      <c r="HZ42" s="50"/>
      <c r="IA42" s="50"/>
      <c r="IB42" s="50"/>
      <c r="IC42" s="50"/>
      <c r="ID42" s="50"/>
      <c r="IE42" s="50"/>
      <c r="IF42" s="50"/>
      <c r="IG42" s="50"/>
      <c r="IH42" s="50"/>
      <c r="II42" s="50"/>
      <c r="IJ42" s="50"/>
      <c r="IK42" s="50"/>
      <c r="IL42" s="50"/>
      <c r="IM42" s="50"/>
      <c r="IN42" s="50"/>
      <c r="IO42" s="50"/>
      <c r="IP42" s="50"/>
      <c r="IQ42" s="50"/>
      <c r="IR42" s="50"/>
      <c r="IS42" s="50"/>
      <c r="IT42" s="50"/>
      <c r="IU42" s="50"/>
      <c r="IV42" s="50"/>
    </row>
    <row r="43" spans="1:256" ht="33.75" customHeight="1" x14ac:dyDescent="0.35">
      <c r="A43" s="1403">
        <v>34</v>
      </c>
      <c r="B43" s="50"/>
      <c r="C43" s="19"/>
      <c r="D43" s="1684" t="s">
        <v>1124</v>
      </c>
      <c r="E43" s="1555">
        <v>56544</v>
      </c>
      <c r="F43" s="1410"/>
      <c r="G43" s="1410"/>
      <c r="H43" s="1410"/>
      <c r="I43" s="50"/>
      <c r="J43" s="50"/>
      <c r="K43" s="50"/>
      <c r="L43" s="50"/>
      <c r="M43" s="50"/>
      <c r="N43" s="50"/>
      <c r="O43" s="50"/>
      <c r="P43" s="50"/>
      <c r="Q43" s="50"/>
      <c r="R43" s="50"/>
      <c r="S43" s="50"/>
      <c r="T43" s="50"/>
      <c r="U43" s="50"/>
      <c r="V43" s="50"/>
      <c r="W43" s="50"/>
      <c r="X43" s="50"/>
      <c r="Y43" s="50"/>
      <c r="Z43" s="50"/>
      <c r="AA43" s="50"/>
      <c r="AB43" s="50"/>
      <c r="AC43" s="50"/>
      <c r="AD43" s="50"/>
      <c r="AE43" s="50"/>
      <c r="AF43" s="50"/>
      <c r="AG43" s="50"/>
      <c r="AH43" s="50"/>
      <c r="AI43" s="50"/>
      <c r="AJ43" s="50"/>
      <c r="AK43" s="50"/>
      <c r="AL43" s="50"/>
      <c r="AM43" s="50"/>
      <c r="AN43" s="50"/>
      <c r="AO43" s="50"/>
      <c r="AP43" s="50"/>
      <c r="AQ43" s="50"/>
      <c r="AR43" s="50"/>
      <c r="AS43" s="50"/>
      <c r="AT43" s="50"/>
      <c r="AU43" s="50"/>
      <c r="AV43" s="50"/>
      <c r="AW43" s="50"/>
      <c r="AX43" s="50"/>
      <c r="AY43" s="50"/>
      <c r="AZ43" s="50"/>
      <c r="BA43" s="50"/>
      <c r="BB43" s="50"/>
      <c r="BC43" s="50"/>
      <c r="BD43" s="50"/>
      <c r="BE43" s="50"/>
      <c r="BF43" s="50"/>
      <c r="BG43" s="50"/>
      <c r="BH43" s="50"/>
      <c r="BI43" s="50"/>
      <c r="BJ43" s="50"/>
      <c r="BK43" s="50"/>
      <c r="BL43" s="50"/>
      <c r="BM43" s="50"/>
      <c r="BN43" s="50"/>
      <c r="BO43" s="50"/>
      <c r="BP43" s="50"/>
      <c r="BQ43" s="50"/>
      <c r="BR43" s="50"/>
      <c r="BS43" s="50"/>
      <c r="BT43" s="50"/>
      <c r="BU43" s="50"/>
      <c r="BV43" s="50"/>
      <c r="BW43" s="50"/>
      <c r="BX43" s="50"/>
      <c r="BY43" s="50"/>
      <c r="BZ43" s="50"/>
      <c r="CA43" s="50"/>
      <c r="CB43" s="50"/>
      <c r="CC43" s="50"/>
      <c r="CD43" s="50"/>
      <c r="CE43" s="50"/>
      <c r="CF43" s="50"/>
      <c r="CG43" s="50"/>
      <c r="CH43" s="50"/>
      <c r="CI43" s="50"/>
      <c r="CJ43" s="50"/>
      <c r="CK43" s="50"/>
      <c r="CL43" s="50"/>
      <c r="CM43" s="50"/>
      <c r="CN43" s="50"/>
      <c r="CO43" s="50"/>
      <c r="CP43" s="50"/>
      <c r="CQ43" s="50"/>
      <c r="CR43" s="50"/>
      <c r="CS43" s="50"/>
      <c r="CT43" s="50"/>
      <c r="CU43" s="50"/>
      <c r="CV43" s="50"/>
      <c r="CW43" s="50"/>
      <c r="CX43" s="50"/>
      <c r="CY43" s="50"/>
      <c r="CZ43" s="50"/>
      <c r="DA43" s="50"/>
      <c r="DB43" s="50"/>
      <c r="DC43" s="50"/>
      <c r="DD43" s="50"/>
      <c r="DE43" s="50"/>
      <c r="DF43" s="50"/>
      <c r="DG43" s="50"/>
      <c r="DH43" s="50"/>
      <c r="DI43" s="50"/>
      <c r="DJ43" s="50"/>
      <c r="DK43" s="50"/>
      <c r="DL43" s="50"/>
      <c r="DM43" s="50"/>
      <c r="DN43" s="50"/>
      <c r="DO43" s="50"/>
      <c r="DP43" s="50"/>
      <c r="DQ43" s="50"/>
      <c r="DR43" s="50"/>
      <c r="DS43" s="50"/>
      <c r="DT43" s="50"/>
      <c r="DU43" s="50"/>
      <c r="DV43" s="50"/>
      <c r="DW43" s="50"/>
      <c r="DX43" s="50"/>
      <c r="DY43" s="50"/>
      <c r="DZ43" s="50"/>
      <c r="EA43" s="50"/>
      <c r="EB43" s="50"/>
      <c r="EC43" s="50"/>
      <c r="ED43" s="50"/>
      <c r="EE43" s="50"/>
      <c r="EF43" s="50"/>
      <c r="EG43" s="50"/>
      <c r="EH43" s="50"/>
      <c r="EI43" s="50"/>
      <c r="EJ43" s="50"/>
      <c r="EK43" s="50"/>
      <c r="EL43" s="50"/>
      <c r="EM43" s="50"/>
      <c r="EN43" s="50"/>
      <c r="EO43" s="50"/>
      <c r="EP43" s="50"/>
      <c r="EQ43" s="50"/>
      <c r="ER43" s="50"/>
      <c r="ES43" s="50"/>
      <c r="ET43" s="50"/>
      <c r="EU43" s="50"/>
      <c r="EV43" s="50"/>
      <c r="EW43" s="50"/>
      <c r="EX43" s="50"/>
      <c r="EY43" s="50"/>
      <c r="EZ43" s="50"/>
      <c r="FA43" s="50"/>
      <c r="FB43" s="50"/>
      <c r="FC43" s="50"/>
      <c r="FD43" s="50"/>
      <c r="FE43" s="50"/>
      <c r="FF43" s="50"/>
      <c r="FG43" s="50"/>
      <c r="FH43" s="50"/>
      <c r="FI43" s="50"/>
      <c r="FJ43" s="50"/>
      <c r="FK43" s="50"/>
      <c r="FL43" s="50"/>
      <c r="FM43" s="50"/>
      <c r="FN43" s="50"/>
      <c r="FO43" s="50"/>
      <c r="FP43" s="50"/>
      <c r="FQ43" s="50"/>
      <c r="FR43" s="50"/>
      <c r="FS43" s="50"/>
      <c r="FT43" s="50"/>
      <c r="FU43" s="50"/>
      <c r="FV43" s="50"/>
      <c r="FW43" s="50"/>
      <c r="FX43" s="50"/>
      <c r="FY43" s="50"/>
      <c r="FZ43" s="50"/>
      <c r="GA43" s="50"/>
      <c r="GB43" s="50"/>
      <c r="GC43" s="50"/>
      <c r="GD43" s="50"/>
      <c r="GE43" s="50"/>
      <c r="GF43" s="50"/>
      <c r="GG43" s="50"/>
      <c r="GH43" s="50"/>
      <c r="GI43" s="50"/>
      <c r="GJ43" s="50"/>
      <c r="GK43" s="50"/>
      <c r="GL43" s="50"/>
      <c r="GM43" s="50"/>
      <c r="GN43" s="50"/>
      <c r="GO43" s="50"/>
      <c r="GP43" s="50"/>
      <c r="GQ43" s="50"/>
      <c r="GR43" s="50"/>
      <c r="GS43" s="50"/>
      <c r="GT43" s="50"/>
      <c r="GU43" s="50"/>
      <c r="GV43" s="50"/>
      <c r="GW43" s="50"/>
      <c r="GX43" s="50"/>
      <c r="GY43" s="50"/>
      <c r="GZ43" s="50"/>
      <c r="HA43" s="50"/>
      <c r="HB43" s="50"/>
      <c r="HC43" s="50"/>
      <c r="HD43" s="50"/>
      <c r="HE43" s="50"/>
      <c r="HF43" s="50"/>
      <c r="HG43" s="50"/>
      <c r="HH43" s="50"/>
      <c r="HI43" s="50"/>
      <c r="HJ43" s="50"/>
      <c r="HK43" s="50"/>
      <c r="HL43" s="50"/>
      <c r="HM43" s="50"/>
      <c r="HN43" s="50"/>
      <c r="HO43" s="50"/>
      <c r="HP43" s="50"/>
      <c r="HQ43" s="50"/>
      <c r="HR43" s="50"/>
      <c r="HS43" s="50"/>
      <c r="HT43" s="50"/>
      <c r="HU43" s="50"/>
      <c r="HV43" s="50"/>
      <c r="HW43" s="50"/>
      <c r="HX43" s="50"/>
      <c r="HY43" s="50"/>
      <c r="HZ43" s="50"/>
      <c r="IA43" s="50"/>
      <c r="IB43" s="50"/>
      <c r="IC43" s="50"/>
      <c r="ID43" s="50"/>
      <c r="IE43" s="50"/>
      <c r="IF43" s="50"/>
      <c r="IG43" s="50"/>
      <c r="IH43" s="50"/>
      <c r="II43" s="50"/>
      <c r="IJ43" s="50"/>
      <c r="IK43" s="50"/>
      <c r="IL43" s="50"/>
      <c r="IM43" s="50"/>
      <c r="IN43" s="50"/>
      <c r="IO43" s="50"/>
      <c r="IP43" s="50"/>
      <c r="IQ43" s="50"/>
      <c r="IR43" s="50"/>
      <c r="IS43" s="50"/>
      <c r="IT43" s="50"/>
      <c r="IU43" s="50"/>
      <c r="IV43" s="50"/>
    </row>
    <row r="44" spans="1:256" ht="24.75" customHeight="1" x14ac:dyDescent="0.35">
      <c r="A44" s="1403">
        <v>35</v>
      </c>
      <c r="B44" s="50"/>
      <c r="C44" s="1407" t="s">
        <v>752</v>
      </c>
      <c r="D44" s="1550" t="s">
        <v>750</v>
      </c>
      <c r="E44" s="1554"/>
      <c r="F44" s="1410"/>
      <c r="G44" s="1410"/>
      <c r="H44" s="1410"/>
      <c r="I44" s="50"/>
      <c r="J44" s="50"/>
      <c r="K44" s="50"/>
      <c r="L44" s="50"/>
      <c r="M44" s="50"/>
      <c r="N44" s="50"/>
      <c r="O44" s="50"/>
      <c r="P44" s="50"/>
      <c r="Q44" s="50"/>
      <c r="R44" s="50"/>
      <c r="S44" s="50"/>
      <c r="T44" s="50"/>
      <c r="U44" s="50"/>
      <c r="V44" s="50"/>
      <c r="W44" s="50"/>
      <c r="X44" s="50"/>
      <c r="Y44" s="50"/>
      <c r="Z44" s="50"/>
      <c r="AA44" s="50"/>
      <c r="AB44" s="50"/>
      <c r="AC44" s="50"/>
      <c r="AD44" s="50"/>
      <c r="AE44" s="50"/>
      <c r="AF44" s="50"/>
      <c r="AG44" s="50"/>
      <c r="AH44" s="50"/>
      <c r="AI44" s="50"/>
      <c r="AJ44" s="50"/>
      <c r="AK44" s="50"/>
      <c r="AL44" s="50"/>
      <c r="AM44" s="50"/>
      <c r="AN44" s="50"/>
      <c r="AO44" s="50"/>
      <c r="AP44" s="50"/>
      <c r="AQ44" s="50"/>
      <c r="AR44" s="50"/>
      <c r="AS44" s="50"/>
      <c r="AT44" s="50"/>
      <c r="AU44" s="50"/>
      <c r="AV44" s="50"/>
      <c r="AW44" s="50"/>
      <c r="AX44" s="50"/>
      <c r="AY44" s="50"/>
      <c r="AZ44" s="50"/>
      <c r="BA44" s="50"/>
      <c r="BB44" s="50"/>
      <c r="BC44" s="50"/>
      <c r="BD44" s="50"/>
      <c r="BE44" s="50"/>
      <c r="BF44" s="50"/>
      <c r="BG44" s="50"/>
      <c r="BH44" s="50"/>
      <c r="BI44" s="50"/>
      <c r="BJ44" s="50"/>
      <c r="BK44" s="50"/>
      <c r="BL44" s="50"/>
      <c r="BM44" s="50"/>
      <c r="BN44" s="50"/>
      <c r="BO44" s="50"/>
      <c r="BP44" s="50"/>
      <c r="BQ44" s="50"/>
      <c r="BR44" s="50"/>
      <c r="BS44" s="50"/>
      <c r="BT44" s="50"/>
      <c r="BU44" s="50"/>
      <c r="BV44" s="50"/>
      <c r="BW44" s="50"/>
      <c r="BX44" s="50"/>
      <c r="BY44" s="50"/>
      <c r="BZ44" s="50"/>
      <c r="CA44" s="50"/>
      <c r="CB44" s="50"/>
      <c r="CC44" s="50"/>
      <c r="CD44" s="50"/>
      <c r="CE44" s="50"/>
      <c r="CF44" s="50"/>
      <c r="CG44" s="50"/>
      <c r="CH44" s="50"/>
      <c r="CI44" s="50"/>
      <c r="CJ44" s="50"/>
      <c r="CK44" s="50"/>
      <c r="CL44" s="50"/>
      <c r="CM44" s="50"/>
      <c r="CN44" s="50"/>
      <c r="CO44" s="50"/>
      <c r="CP44" s="50"/>
      <c r="CQ44" s="50"/>
      <c r="CR44" s="50"/>
      <c r="CS44" s="50"/>
      <c r="CT44" s="50"/>
      <c r="CU44" s="50"/>
      <c r="CV44" s="50"/>
      <c r="CW44" s="50"/>
      <c r="CX44" s="50"/>
      <c r="CY44" s="50"/>
      <c r="CZ44" s="50"/>
      <c r="DA44" s="50"/>
      <c r="DB44" s="50"/>
      <c r="DC44" s="50"/>
      <c r="DD44" s="50"/>
      <c r="DE44" s="50"/>
      <c r="DF44" s="50"/>
      <c r="DG44" s="50"/>
      <c r="DH44" s="50"/>
      <c r="DI44" s="50"/>
      <c r="DJ44" s="50"/>
      <c r="DK44" s="50"/>
      <c r="DL44" s="50"/>
      <c r="DM44" s="50"/>
      <c r="DN44" s="50"/>
      <c r="DO44" s="50"/>
      <c r="DP44" s="50"/>
      <c r="DQ44" s="50"/>
      <c r="DR44" s="50"/>
      <c r="DS44" s="50"/>
      <c r="DT44" s="50"/>
      <c r="DU44" s="50"/>
      <c r="DV44" s="50"/>
      <c r="DW44" s="50"/>
      <c r="DX44" s="50"/>
      <c r="DY44" s="50"/>
      <c r="DZ44" s="50"/>
      <c r="EA44" s="50"/>
      <c r="EB44" s="50"/>
      <c r="EC44" s="50"/>
      <c r="ED44" s="50"/>
      <c r="EE44" s="50"/>
      <c r="EF44" s="50"/>
      <c r="EG44" s="50"/>
      <c r="EH44" s="50"/>
      <c r="EI44" s="50"/>
      <c r="EJ44" s="50"/>
      <c r="EK44" s="50"/>
      <c r="EL44" s="50"/>
      <c r="EM44" s="50"/>
      <c r="EN44" s="50"/>
      <c r="EO44" s="50"/>
      <c r="EP44" s="50"/>
      <c r="EQ44" s="50"/>
      <c r="ER44" s="50"/>
      <c r="ES44" s="50"/>
      <c r="ET44" s="50"/>
      <c r="EU44" s="50"/>
      <c r="EV44" s="50"/>
      <c r="EW44" s="50"/>
      <c r="EX44" s="50"/>
      <c r="EY44" s="50"/>
      <c r="EZ44" s="50"/>
      <c r="FA44" s="50"/>
      <c r="FB44" s="50"/>
      <c r="FC44" s="50"/>
      <c r="FD44" s="50"/>
      <c r="FE44" s="50"/>
      <c r="FF44" s="50"/>
      <c r="FG44" s="50"/>
      <c r="FH44" s="50"/>
      <c r="FI44" s="50"/>
      <c r="FJ44" s="50"/>
      <c r="FK44" s="50"/>
      <c r="FL44" s="50"/>
      <c r="FM44" s="50"/>
      <c r="FN44" s="50"/>
      <c r="FO44" s="50"/>
      <c r="FP44" s="50"/>
      <c r="FQ44" s="50"/>
      <c r="FR44" s="50"/>
      <c r="FS44" s="50"/>
      <c r="FT44" s="50"/>
      <c r="FU44" s="50"/>
      <c r="FV44" s="50"/>
      <c r="FW44" s="50"/>
      <c r="FX44" s="50"/>
      <c r="FY44" s="50"/>
      <c r="FZ44" s="50"/>
      <c r="GA44" s="50"/>
      <c r="GB44" s="50"/>
      <c r="GC44" s="50"/>
      <c r="GD44" s="50"/>
      <c r="GE44" s="50"/>
      <c r="GF44" s="50"/>
      <c r="GG44" s="50"/>
      <c r="GH44" s="50"/>
      <c r="GI44" s="50"/>
      <c r="GJ44" s="50"/>
      <c r="GK44" s="50"/>
      <c r="GL44" s="50"/>
      <c r="GM44" s="50"/>
      <c r="GN44" s="50"/>
      <c r="GO44" s="50"/>
      <c r="GP44" s="50"/>
      <c r="GQ44" s="50"/>
      <c r="GR44" s="50"/>
      <c r="GS44" s="50"/>
      <c r="GT44" s="50"/>
      <c r="GU44" s="50"/>
      <c r="GV44" s="50"/>
      <c r="GW44" s="50"/>
      <c r="GX44" s="50"/>
      <c r="GY44" s="50"/>
      <c r="GZ44" s="50"/>
      <c r="HA44" s="50"/>
      <c r="HB44" s="50"/>
      <c r="HC44" s="50"/>
      <c r="HD44" s="50"/>
      <c r="HE44" s="50"/>
      <c r="HF44" s="50"/>
      <c r="HG44" s="50"/>
      <c r="HH44" s="50"/>
      <c r="HI44" s="50"/>
      <c r="HJ44" s="50"/>
      <c r="HK44" s="50"/>
      <c r="HL44" s="50"/>
      <c r="HM44" s="50"/>
      <c r="HN44" s="50"/>
      <c r="HO44" s="50"/>
      <c r="HP44" s="50"/>
      <c r="HQ44" s="50"/>
      <c r="HR44" s="50"/>
      <c r="HS44" s="50"/>
      <c r="HT44" s="50"/>
      <c r="HU44" s="50"/>
      <c r="HV44" s="50"/>
      <c r="HW44" s="50"/>
      <c r="HX44" s="50"/>
      <c r="HY44" s="50"/>
      <c r="HZ44" s="50"/>
      <c r="IA44" s="50"/>
      <c r="IB44" s="50"/>
      <c r="IC44" s="50"/>
      <c r="ID44" s="50"/>
      <c r="IE44" s="50"/>
      <c r="IF44" s="50"/>
      <c r="IG44" s="50"/>
      <c r="IH44" s="50"/>
      <c r="II44" s="50"/>
      <c r="IJ44" s="50"/>
      <c r="IK44" s="50"/>
      <c r="IL44" s="50"/>
      <c r="IM44" s="50"/>
      <c r="IN44" s="50"/>
      <c r="IO44" s="50"/>
      <c r="IP44" s="50"/>
      <c r="IQ44" s="50"/>
      <c r="IR44" s="50"/>
      <c r="IS44" s="50"/>
      <c r="IT44" s="50"/>
      <c r="IU44" s="50"/>
      <c r="IV44" s="50"/>
    </row>
    <row r="45" spans="1:256" ht="34.5" customHeight="1" x14ac:dyDescent="0.35">
      <c r="A45" s="1403">
        <v>36</v>
      </c>
      <c r="B45" s="50"/>
      <c r="C45" s="1407"/>
      <c r="D45" s="569" t="s">
        <v>751</v>
      </c>
      <c r="E45" s="1557">
        <v>3035</v>
      </c>
      <c r="F45" s="1410"/>
      <c r="G45" s="1410"/>
      <c r="H45" s="1410"/>
      <c r="I45" s="50"/>
      <c r="J45" s="50"/>
      <c r="K45" s="50"/>
      <c r="L45" s="50"/>
      <c r="M45" s="50"/>
      <c r="N45" s="50"/>
      <c r="O45" s="50"/>
      <c r="P45" s="50"/>
      <c r="Q45" s="50"/>
      <c r="R45" s="50"/>
      <c r="S45" s="50"/>
      <c r="T45" s="50"/>
      <c r="U45" s="50"/>
      <c r="V45" s="50"/>
      <c r="W45" s="50"/>
      <c r="X45" s="50"/>
      <c r="Y45" s="50"/>
      <c r="Z45" s="50"/>
      <c r="AA45" s="50"/>
      <c r="AB45" s="50"/>
      <c r="AC45" s="50"/>
      <c r="AD45" s="50"/>
      <c r="AE45" s="50"/>
      <c r="AF45" s="50"/>
      <c r="AG45" s="50"/>
      <c r="AH45" s="50"/>
      <c r="AI45" s="50"/>
      <c r="AJ45" s="50"/>
      <c r="AK45" s="50"/>
      <c r="AL45" s="50"/>
      <c r="AM45" s="50"/>
      <c r="AN45" s="50"/>
      <c r="AO45" s="50"/>
      <c r="AP45" s="50"/>
      <c r="AQ45" s="50"/>
      <c r="AR45" s="50"/>
      <c r="AS45" s="50"/>
      <c r="AT45" s="50"/>
      <c r="AU45" s="50"/>
      <c r="AV45" s="50"/>
      <c r="AW45" s="50"/>
      <c r="AX45" s="50"/>
      <c r="AY45" s="50"/>
      <c r="AZ45" s="50"/>
      <c r="BA45" s="50"/>
      <c r="BB45" s="50"/>
      <c r="BC45" s="50"/>
      <c r="BD45" s="50"/>
      <c r="BE45" s="50"/>
      <c r="BF45" s="50"/>
      <c r="BG45" s="50"/>
      <c r="BH45" s="50"/>
      <c r="BI45" s="50"/>
      <c r="BJ45" s="50"/>
      <c r="BK45" s="50"/>
      <c r="BL45" s="50"/>
      <c r="BM45" s="50"/>
      <c r="BN45" s="50"/>
      <c r="BO45" s="50"/>
      <c r="BP45" s="50"/>
      <c r="BQ45" s="50"/>
      <c r="BR45" s="50"/>
      <c r="BS45" s="50"/>
      <c r="BT45" s="50"/>
      <c r="BU45" s="50"/>
      <c r="BV45" s="50"/>
      <c r="BW45" s="50"/>
      <c r="BX45" s="50"/>
      <c r="BY45" s="50"/>
      <c r="BZ45" s="50"/>
      <c r="CA45" s="50"/>
      <c r="CB45" s="50"/>
      <c r="CC45" s="50"/>
      <c r="CD45" s="50"/>
      <c r="CE45" s="50"/>
      <c r="CF45" s="50"/>
      <c r="CG45" s="50"/>
      <c r="CH45" s="50"/>
      <c r="CI45" s="50"/>
      <c r="CJ45" s="50"/>
      <c r="CK45" s="50"/>
      <c r="CL45" s="50"/>
      <c r="CM45" s="50"/>
      <c r="CN45" s="50"/>
      <c r="CO45" s="50"/>
      <c r="CP45" s="50"/>
      <c r="CQ45" s="50"/>
      <c r="CR45" s="50"/>
      <c r="CS45" s="50"/>
      <c r="CT45" s="50"/>
      <c r="CU45" s="50"/>
      <c r="CV45" s="50"/>
      <c r="CW45" s="50"/>
      <c r="CX45" s="50"/>
      <c r="CY45" s="50"/>
      <c r="CZ45" s="50"/>
      <c r="DA45" s="50"/>
      <c r="DB45" s="50"/>
      <c r="DC45" s="50"/>
      <c r="DD45" s="50"/>
      <c r="DE45" s="50"/>
      <c r="DF45" s="50"/>
      <c r="DG45" s="50"/>
      <c r="DH45" s="50"/>
      <c r="DI45" s="50"/>
      <c r="DJ45" s="50"/>
      <c r="DK45" s="50"/>
      <c r="DL45" s="50"/>
      <c r="DM45" s="50"/>
      <c r="DN45" s="50"/>
      <c r="DO45" s="50"/>
      <c r="DP45" s="50"/>
      <c r="DQ45" s="50"/>
      <c r="DR45" s="50"/>
      <c r="DS45" s="50"/>
      <c r="DT45" s="50"/>
      <c r="DU45" s="50"/>
      <c r="DV45" s="50"/>
      <c r="DW45" s="50"/>
      <c r="DX45" s="50"/>
      <c r="DY45" s="50"/>
      <c r="DZ45" s="50"/>
      <c r="EA45" s="50"/>
      <c r="EB45" s="50"/>
      <c r="EC45" s="50"/>
      <c r="ED45" s="50"/>
      <c r="EE45" s="50"/>
      <c r="EF45" s="50"/>
      <c r="EG45" s="50"/>
      <c r="EH45" s="50"/>
      <c r="EI45" s="50"/>
      <c r="EJ45" s="50"/>
      <c r="EK45" s="50"/>
      <c r="EL45" s="50"/>
      <c r="EM45" s="50"/>
      <c r="EN45" s="50"/>
      <c r="EO45" s="50"/>
      <c r="EP45" s="50"/>
      <c r="EQ45" s="50"/>
      <c r="ER45" s="50"/>
      <c r="ES45" s="50"/>
      <c r="ET45" s="50"/>
      <c r="EU45" s="50"/>
      <c r="EV45" s="50"/>
      <c r="EW45" s="50"/>
      <c r="EX45" s="50"/>
      <c r="EY45" s="50"/>
      <c r="EZ45" s="50"/>
      <c r="FA45" s="50"/>
      <c r="FB45" s="50"/>
      <c r="FC45" s="50"/>
      <c r="FD45" s="50"/>
      <c r="FE45" s="50"/>
      <c r="FF45" s="50"/>
      <c r="FG45" s="50"/>
      <c r="FH45" s="50"/>
      <c r="FI45" s="50"/>
      <c r="FJ45" s="50"/>
      <c r="FK45" s="50"/>
      <c r="FL45" s="50"/>
      <c r="FM45" s="50"/>
      <c r="FN45" s="50"/>
      <c r="FO45" s="50"/>
      <c r="FP45" s="50"/>
      <c r="FQ45" s="50"/>
      <c r="FR45" s="50"/>
      <c r="FS45" s="50"/>
      <c r="FT45" s="50"/>
      <c r="FU45" s="50"/>
      <c r="FV45" s="50"/>
      <c r="FW45" s="50"/>
      <c r="FX45" s="50"/>
      <c r="FY45" s="50"/>
      <c r="FZ45" s="50"/>
      <c r="GA45" s="50"/>
      <c r="GB45" s="50"/>
      <c r="GC45" s="50"/>
      <c r="GD45" s="50"/>
      <c r="GE45" s="50"/>
      <c r="GF45" s="50"/>
      <c r="GG45" s="50"/>
      <c r="GH45" s="50"/>
      <c r="GI45" s="50"/>
      <c r="GJ45" s="50"/>
      <c r="GK45" s="50"/>
      <c r="GL45" s="50"/>
      <c r="GM45" s="50"/>
      <c r="GN45" s="50"/>
      <c r="GO45" s="50"/>
      <c r="GP45" s="50"/>
      <c r="GQ45" s="50"/>
      <c r="GR45" s="50"/>
      <c r="GS45" s="50"/>
      <c r="GT45" s="50"/>
      <c r="GU45" s="50"/>
      <c r="GV45" s="50"/>
      <c r="GW45" s="50"/>
      <c r="GX45" s="50"/>
      <c r="GY45" s="50"/>
      <c r="GZ45" s="50"/>
      <c r="HA45" s="50"/>
      <c r="HB45" s="50"/>
      <c r="HC45" s="50"/>
      <c r="HD45" s="50"/>
      <c r="HE45" s="50"/>
      <c r="HF45" s="50"/>
      <c r="HG45" s="50"/>
      <c r="HH45" s="50"/>
      <c r="HI45" s="50"/>
      <c r="HJ45" s="50"/>
      <c r="HK45" s="50"/>
      <c r="HL45" s="50"/>
      <c r="HM45" s="50"/>
      <c r="HN45" s="50"/>
      <c r="HO45" s="50"/>
      <c r="HP45" s="50"/>
      <c r="HQ45" s="50"/>
      <c r="HR45" s="50"/>
      <c r="HS45" s="50"/>
      <c r="HT45" s="50"/>
      <c r="HU45" s="50"/>
      <c r="HV45" s="50"/>
      <c r="HW45" s="50"/>
      <c r="HX45" s="50"/>
      <c r="HY45" s="50"/>
      <c r="HZ45" s="50"/>
      <c r="IA45" s="50"/>
      <c r="IB45" s="50"/>
      <c r="IC45" s="50"/>
      <c r="ID45" s="50"/>
      <c r="IE45" s="50"/>
      <c r="IF45" s="50"/>
      <c r="IG45" s="50"/>
      <c r="IH45" s="50"/>
      <c r="II45" s="50"/>
      <c r="IJ45" s="50"/>
      <c r="IK45" s="50"/>
      <c r="IL45" s="50"/>
      <c r="IM45" s="50"/>
      <c r="IN45" s="50"/>
      <c r="IO45" s="50"/>
      <c r="IP45" s="50"/>
      <c r="IQ45" s="50"/>
      <c r="IR45" s="50"/>
      <c r="IS45" s="50"/>
      <c r="IT45" s="50"/>
      <c r="IU45" s="50"/>
      <c r="IV45" s="50"/>
    </row>
    <row r="46" spans="1:256" ht="18" customHeight="1" x14ac:dyDescent="0.35">
      <c r="A46" s="1403">
        <v>37</v>
      </c>
      <c r="B46" s="50"/>
      <c r="C46" s="1407"/>
      <c r="D46" s="569" t="s">
        <v>939</v>
      </c>
      <c r="E46" s="1557">
        <v>5600</v>
      </c>
      <c r="F46" s="1410"/>
      <c r="G46" s="1410"/>
      <c r="H46" s="1410"/>
      <c r="I46" s="50"/>
      <c r="J46" s="50"/>
      <c r="K46" s="50"/>
      <c r="L46" s="50"/>
      <c r="M46" s="50"/>
      <c r="N46" s="50"/>
      <c r="O46" s="50"/>
      <c r="P46" s="50"/>
      <c r="Q46" s="50"/>
      <c r="R46" s="50"/>
      <c r="S46" s="50"/>
      <c r="T46" s="50"/>
      <c r="U46" s="50"/>
      <c r="V46" s="50"/>
      <c r="W46" s="50"/>
      <c r="X46" s="50"/>
      <c r="Y46" s="50"/>
      <c r="Z46" s="50"/>
      <c r="AA46" s="50"/>
      <c r="AB46" s="50"/>
      <c r="AC46" s="50"/>
      <c r="AD46" s="50"/>
      <c r="AE46" s="50"/>
      <c r="AF46" s="50"/>
      <c r="AG46" s="50"/>
      <c r="AH46" s="50"/>
      <c r="AI46" s="50"/>
      <c r="AJ46" s="50"/>
      <c r="AK46" s="50"/>
      <c r="AL46" s="50"/>
      <c r="AM46" s="50"/>
      <c r="AN46" s="50"/>
      <c r="AO46" s="50"/>
      <c r="AP46" s="50"/>
      <c r="AQ46" s="50"/>
      <c r="AR46" s="50"/>
      <c r="AS46" s="50"/>
      <c r="AT46" s="50"/>
      <c r="AU46" s="50"/>
      <c r="AV46" s="50"/>
      <c r="AW46" s="50"/>
      <c r="AX46" s="50"/>
      <c r="AY46" s="50"/>
      <c r="AZ46" s="50"/>
      <c r="BA46" s="50"/>
      <c r="BB46" s="50"/>
      <c r="BC46" s="50"/>
      <c r="BD46" s="50"/>
      <c r="BE46" s="50"/>
      <c r="BF46" s="50"/>
      <c r="BG46" s="50"/>
      <c r="BH46" s="50"/>
      <c r="BI46" s="50"/>
      <c r="BJ46" s="50"/>
      <c r="BK46" s="50"/>
      <c r="BL46" s="50"/>
      <c r="BM46" s="50"/>
      <c r="BN46" s="50"/>
      <c r="BO46" s="50"/>
      <c r="BP46" s="50"/>
      <c r="BQ46" s="50"/>
      <c r="BR46" s="50"/>
      <c r="BS46" s="50"/>
      <c r="BT46" s="50"/>
      <c r="BU46" s="50"/>
      <c r="BV46" s="50"/>
      <c r="BW46" s="50"/>
      <c r="BX46" s="50"/>
      <c r="BY46" s="50"/>
      <c r="BZ46" s="50"/>
      <c r="CA46" s="50"/>
      <c r="CB46" s="50"/>
      <c r="CC46" s="50"/>
      <c r="CD46" s="50"/>
      <c r="CE46" s="50"/>
      <c r="CF46" s="50"/>
      <c r="CG46" s="50"/>
      <c r="CH46" s="50"/>
      <c r="CI46" s="50"/>
      <c r="CJ46" s="50"/>
      <c r="CK46" s="50"/>
      <c r="CL46" s="50"/>
      <c r="CM46" s="50"/>
      <c r="CN46" s="50"/>
      <c r="CO46" s="50"/>
      <c r="CP46" s="50"/>
      <c r="CQ46" s="50"/>
      <c r="CR46" s="50"/>
      <c r="CS46" s="50"/>
      <c r="CT46" s="50"/>
      <c r="CU46" s="50"/>
      <c r="CV46" s="50"/>
      <c r="CW46" s="50"/>
      <c r="CX46" s="50"/>
      <c r="CY46" s="50"/>
      <c r="CZ46" s="50"/>
      <c r="DA46" s="50"/>
      <c r="DB46" s="50"/>
      <c r="DC46" s="50"/>
      <c r="DD46" s="50"/>
      <c r="DE46" s="50"/>
      <c r="DF46" s="50"/>
      <c r="DG46" s="50"/>
      <c r="DH46" s="50"/>
      <c r="DI46" s="50"/>
      <c r="DJ46" s="50"/>
      <c r="DK46" s="50"/>
      <c r="DL46" s="50"/>
      <c r="DM46" s="50"/>
      <c r="DN46" s="50"/>
      <c r="DO46" s="50"/>
      <c r="DP46" s="50"/>
      <c r="DQ46" s="50"/>
      <c r="DR46" s="50"/>
      <c r="DS46" s="50"/>
      <c r="DT46" s="50"/>
      <c r="DU46" s="50"/>
      <c r="DV46" s="50"/>
      <c r="DW46" s="50"/>
      <c r="DX46" s="50"/>
      <c r="DY46" s="50"/>
      <c r="DZ46" s="50"/>
      <c r="EA46" s="50"/>
      <c r="EB46" s="50"/>
      <c r="EC46" s="50"/>
      <c r="ED46" s="50"/>
      <c r="EE46" s="50"/>
      <c r="EF46" s="50"/>
      <c r="EG46" s="50"/>
      <c r="EH46" s="50"/>
      <c r="EI46" s="50"/>
      <c r="EJ46" s="50"/>
      <c r="EK46" s="50"/>
      <c r="EL46" s="50"/>
      <c r="EM46" s="50"/>
      <c r="EN46" s="50"/>
      <c r="EO46" s="50"/>
      <c r="EP46" s="50"/>
      <c r="EQ46" s="50"/>
      <c r="ER46" s="50"/>
      <c r="ES46" s="50"/>
      <c r="ET46" s="50"/>
      <c r="EU46" s="50"/>
      <c r="EV46" s="50"/>
      <c r="EW46" s="50"/>
      <c r="EX46" s="50"/>
      <c r="EY46" s="50"/>
      <c r="EZ46" s="50"/>
      <c r="FA46" s="50"/>
      <c r="FB46" s="50"/>
      <c r="FC46" s="50"/>
      <c r="FD46" s="50"/>
      <c r="FE46" s="50"/>
      <c r="FF46" s="50"/>
      <c r="FG46" s="50"/>
      <c r="FH46" s="50"/>
      <c r="FI46" s="50"/>
      <c r="FJ46" s="50"/>
      <c r="FK46" s="50"/>
      <c r="FL46" s="50"/>
      <c r="FM46" s="50"/>
      <c r="FN46" s="50"/>
      <c r="FO46" s="50"/>
      <c r="FP46" s="50"/>
      <c r="FQ46" s="50"/>
      <c r="FR46" s="50"/>
      <c r="FS46" s="50"/>
      <c r="FT46" s="50"/>
      <c r="FU46" s="50"/>
      <c r="FV46" s="50"/>
      <c r="FW46" s="50"/>
      <c r="FX46" s="50"/>
      <c r="FY46" s="50"/>
      <c r="FZ46" s="50"/>
      <c r="GA46" s="50"/>
      <c r="GB46" s="50"/>
      <c r="GC46" s="50"/>
      <c r="GD46" s="50"/>
      <c r="GE46" s="50"/>
      <c r="GF46" s="50"/>
      <c r="GG46" s="50"/>
      <c r="GH46" s="50"/>
      <c r="GI46" s="50"/>
      <c r="GJ46" s="50"/>
      <c r="GK46" s="50"/>
      <c r="GL46" s="50"/>
      <c r="GM46" s="50"/>
      <c r="GN46" s="50"/>
      <c r="GO46" s="50"/>
      <c r="GP46" s="50"/>
      <c r="GQ46" s="50"/>
      <c r="GR46" s="50"/>
      <c r="GS46" s="50"/>
      <c r="GT46" s="50"/>
      <c r="GU46" s="50"/>
      <c r="GV46" s="50"/>
      <c r="GW46" s="50"/>
      <c r="GX46" s="50"/>
      <c r="GY46" s="50"/>
      <c r="GZ46" s="50"/>
      <c r="HA46" s="50"/>
      <c r="HB46" s="50"/>
      <c r="HC46" s="50"/>
      <c r="HD46" s="50"/>
      <c r="HE46" s="50"/>
      <c r="HF46" s="50"/>
      <c r="HG46" s="50"/>
      <c r="HH46" s="50"/>
      <c r="HI46" s="50"/>
      <c r="HJ46" s="50"/>
      <c r="HK46" s="50"/>
      <c r="HL46" s="50"/>
      <c r="HM46" s="50"/>
      <c r="HN46" s="50"/>
      <c r="HO46" s="50"/>
      <c r="HP46" s="50"/>
      <c r="HQ46" s="50"/>
      <c r="HR46" s="50"/>
      <c r="HS46" s="50"/>
      <c r="HT46" s="50"/>
      <c r="HU46" s="50"/>
      <c r="HV46" s="50"/>
      <c r="HW46" s="50"/>
      <c r="HX46" s="50"/>
      <c r="HY46" s="50"/>
      <c r="HZ46" s="50"/>
      <c r="IA46" s="50"/>
      <c r="IB46" s="50"/>
      <c r="IC46" s="50"/>
      <c r="ID46" s="50"/>
      <c r="IE46" s="50"/>
      <c r="IF46" s="50"/>
      <c r="IG46" s="50"/>
      <c r="IH46" s="50"/>
      <c r="II46" s="50"/>
      <c r="IJ46" s="50"/>
      <c r="IK46" s="50"/>
      <c r="IL46" s="50"/>
      <c r="IM46" s="50"/>
      <c r="IN46" s="50"/>
      <c r="IO46" s="50"/>
      <c r="IP46" s="50"/>
      <c r="IQ46" s="50"/>
      <c r="IR46" s="50"/>
      <c r="IS46" s="50"/>
      <c r="IT46" s="50"/>
      <c r="IU46" s="50"/>
      <c r="IV46" s="50"/>
    </row>
    <row r="47" spans="1:256" ht="18" customHeight="1" x14ac:dyDescent="0.35">
      <c r="A47" s="1403">
        <v>38</v>
      </c>
      <c r="B47" s="50"/>
      <c r="C47" s="1407"/>
      <c r="D47" s="569" t="s">
        <v>991</v>
      </c>
      <c r="E47" s="1557">
        <v>118</v>
      </c>
      <c r="F47" s="1410"/>
      <c r="G47" s="1410"/>
      <c r="H47" s="1410"/>
      <c r="I47" s="50"/>
      <c r="J47" s="50"/>
      <c r="K47" s="50"/>
      <c r="L47" s="50"/>
      <c r="M47" s="50"/>
      <c r="N47" s="50"/>
      <c r="O47" s="50"/>
      <c r="P47" s="50"/>
      <c r="Q47" s="50"/>
      <c r="R47" s="50"/>
      <c r="S47" s="50"/>
      <c r="T47" s="50"/>
      <c r="U47" s="50"/>
      <c r="V47" s="50"/>
      <c r="W47" s="50"/>
      <c r="X47" s="50"/>
      <c r="Y47" s="50"/>
      <c r="Z47" s="50"/>
      <c r="AA47" s="50"/>
      <c r="AB47" s="50"/>
      <c r="AC47" s="50"/>
      <c r="AD47" s="50"/>
      <c r="AE47" s="50"/>
      <c r="AF47" s="50"/>
      <c r="AG47" s="50"/>
      <c r="AH47" s="50"/>
      <c r="AI47" s="50"/>
      <c r="AJ47" s="50"/>
      <c r="AK47" s="50"/>
      <c r="AL47" s="50"/>
      <c r="AM47" s="50"/>
      <c r="AN47" s="50"/>
      <c r="AO47" s="50"/>
      <c r="AP47" s="50"/>
      <c r="AQ47" s="50"/>
      <c r="AR47" s="50"/>
      <c r="AS47" s="50"/>
      <c r="AT47" s="50"/>
      <c r="AU47" s="50"/>
      <c r="AV47" s="50"/>
      <c r="AW47" s="50"/>
      <c r="AX47" s="50"/>
      <c r="AY47" s="50"/>
      <c r="AZ47" s="50"/>
      <c r="BA47" s="50"/>
      <c r="BB47" s="50"/>
      <c r="BC47" s="50"/>
      <c r="BD47" s="50"/>
      <c r="BE47" s="50"/>
      <c r="BF47" s="50"/>
      <c r="BG47" s="50"/>
      <c r="BH47" s="50"/>
      <c r="BI47" s="50"/>
      <c r="BJ47" s="50"/>
      <c r="BK47" s="50"/>
      <c r="BL47" s="50"/>
      <c r="BM47" s="50"/>
      <c r="BN47" s="50"/>
      <c r="BO47" s="50"/>
      <c r="BP47" s="50"/>
      <c r="BQ47" s="50"/>
      <c r="BR47" s="50"/>
      <c r="BS47" s="50"/>
      <c r="BT47" s="50"/>
      <c r="BU47" s="50"/>
      <c r="BV47" s="50"/>
      <c r="BW47" s="50"/>
      <c r="BX47" s="50"/>
      <c r="BY47" s="50"/>
      <c r="BZ47" s="50"/>
      <c r="CA47" s="50"/>
      <c r="CB47" s="50"/>
      <c r="CC47" s="50"/>
      <c r="CD47" s="50"/>
      <c r="CE47" s="50"/>
      <c r="CF47" s="50"/>
      <c r="CG47" s="50"/>
      <c r="CH47" s="50"/>
      <c r="CI47" s="50"/>
      <c r="CJ47" s="50"/>
      <c r="CK47" s="50"/>
      <c r="CL47" s="50"/>
      <c r="CM47" s="50"/>
      <c r="CN47" s="50"/>
      <c r="CO47" s="50"/>
      <c r="CP47" s="50"/>
      <c r="CQ47" s="50"/>
      <c r="CR47" s="50"/>
      <c r="CS47" s="50"/>
      <c r="CT47" s="50"/>
      <c r="CU47" s="50"/>
      <c r="CV47" s="50"/>
      <c r="CW47" s="50"/>
      <c r="CX47" s="50"/>
      <c r="CY47" s="50"/>
      <c r="CZ47" s="50"/>
      <c r="DA47" s="50"/>
      <c r="DB47" s="50"/>
      <c r="DC47" s="50"/>
      <c r="DD47" s="50"/>
      <c r="DE47" s="50"/>
      <c r="DF47" s="50"/>
      <c r="DG47" s="50"/>
      <c r="DH47" s="50"/>
      <c r="DI47" s="50"/>
      <c r="DJ47" s="50"/>
      <c r="DK47" s="50"/>
      <c r="DL47" s="50"/>
      <c r="DM47" s="50"/>
      <c r="DN47" s="50"/>
      <c r="DO47" s="50"/>
      <c r="DP47" s="50"/>
      <c r="DQ47" s="50"/>
      <c r="DR47" s="50"/>
      <c r="DS47" s="50"/>
      <c r="DT47" s="50"/>
      <c r="DU47" s="50"/>
      <c r="DV47" s="50"/>
      <c r="DW47" s="50"/>
      <c r="DX47" s="50"/>
      <c r="DY47" s="50"/>
      <c r="DZ47" s="50"/>
      <c r="EA47" s="50"/>
      <c r="EB47" s="50"/>
      <c r="EC47" s="50"/>
      <c r="ED47" s="50"/>
      <c r="EE47" s="50"/>
      <c r="EF47" s="50"/>
      <c r="EG47" s="50"/>
      <c r="EH47" s="50"/>
      <c r="EI47" s="50"/>
      <c r="EJ47" s="50"/>
      <c r="EK47" s="50"/>
      <c r="EL47" s="50"/>
      <c r="EM47" s="50"/>
      <c r="EN47" s="50"/>
      <c r="EO47" s="50"/>
      <c r="EP47" s="50"/>
      <c r="EQ47" s="50"/>
      <c r="ER47" s="50"/>
      <c r="ES47" s="50"/>
      <c r="ET47" s="50"/>
      <c r="EU47" s="50"/>
      <c r="EV47" s="50"/>
      <c r="EW47" s="50"/>
      <c r="EX47" s="50"/>
      <c r="EY47" s="50"/>
      <c r="EZ47" s="50"/>
      <c r="FA47" s="50"/>
      <c r="FB47" s="50"/>
      <c r="FC47" s="50"/>
      <c r="FD47" s="50"/>
      <c r="FE47" s="50"/>
      <c r="FF47" s="50"/>
      <c r="FG47" s="50"/>
      <c r="FH47" s="50"/>
      <c r="FI47" s="50"/>
      <c r="FJ47" s="50"/>
      <c r="FK47" s="50"/>
      <c r="FL47" s="50"/>
      <c r="FM47" s="50"/>
      <c r="FN47" s="50"/>
      <c r="FO47" s="50"/>
      <c r="FP47" s="50"/>
      <c r="FQ47" s="50"/>
      <c r="FR47" s="50"/>
      <c r="FS47" s="50"/>
      <c r="FT47" s="50"/>
      <c r="FU47" s="50"/>
      <c r="FV47" s="50"/>
      <c r="FW47" s="50"/>
      <c r="FX47" s="50"/>
      <c r="FY47" s="50"/>
      <c r="FZ47" s="50"/>
      <c r="GA47" s="50"/>
      <c r="GB47" s="50"/>
      <c r="GC47" s="50"/>
      <c r="GD47" s="50"/>
      <c r="GE47" s="50"/>
      <c r="GF47" s="50"/>
      <c r="GG47" s="50"/>
      <c r="GH47" s="50"/>
      <c r="GI47" s="50"/>
      <c r="GJ47" s="50"/>
      <c r="GK47" s="50"/>
      <c r="GL47" s="50"/>
      <c r="GM47" s="50"/>
      <c r="GN47" s="50"/>
      <c r="GO47" s="50"/>
      <c r="GP47" s="50"/>
      <c r="GQ47" s="50"/>
      <c r="GR47" s="50"/>
      <c r="GS47" s="50"/>
      <c r="GT47" s="50"/>
      <c r="GU47" s="50"/>
      <c r="GV47" s="50"/>
      <c r="GW47" s="50"/>
      <c r="GX47" s="50"/>
      <c r="GY47" s="50"/>
      <c r="GZ47" s="50"/>
      <c r="HA47" s="50"/>
      <c r="HB47" s="50"/>
      <c r="HC47" s="50"/>
      <c r="HD47" s="50"/>
      <c r="HE47" s="50"/>
      <c r="HF47" s="50"/>
      <c r="HG47" s="50"/>
      <c r="HH47" s="50"/>
      <c r="HI47" s="50"/>
      <c r="HJ47" s="50"/>
      <c r="HK47" s="50"/>
      <c r="HL47" s="50"/>
      <c r="HM47" s="50"/>
      <c r="HN47" s="50"/>
      <c r="HO47" s="50"/>
      <c r="HP47" s="50"/>
      <c r="HQ47" s="50"/>
      <c r="HR47" s="50"/>
      <c r="HS47" s="50"/>
      <c r="HT47" s="50"/>
      <c r="HU47" s="50"/>
      <c r="HV47" s="50"/>
      <c r="HW47" s="50"/>
      <c r="HX47" s="50"/>
      <c r="HY47" s="50"/>
      <c r="HZ47" s="50"/>
      <c r="IA47" s="50"/>
      <c r="IB47" s="50"/>
      <c r="IC47" s="50"/>
      <c r="ID47" s="50"/>
      <c r="IE47" s="50"/>
      <c r="IF47" s="50"/>
      <c r="IG47" s="50"/>
      <c r="IH47" s="50"/>
      <c r="II47" s="50"/>
      <c r="IJ47" s="50"/>
      <c r="IK47" s="50"/>
      <c r="IL47" s="50"/>
      <c r="IM47" s="50"/>
      <c r="IN47" s="50"/>
      <c r="IO47" s="50"/>
      <c r="IP47" s="50"/>
      <c r="IQ47" s="50"/>
      <c r="IR47" s="50"/>
      <c r="IS47" s="50"/>
      <c r="IT47" s="50"/>
      <c r="IU47" s="50"/>
      <c r="IV47" s="50"/>
    </row>
    <row r="48" spans="1:256" ht="34.5" customHeight="1" x14ac:dyDescent="0.35">
      <c r="A48" s="1403">
        <v>39</v>
      </c>
      <c r="B48" s="50"/>
      <c r="C48" s="1407"/>
      <c r="D48" s="569" t="s">
        <v>1137</v>
      </c>
      <c r="E48" s="1557">
        <v>16500</v>
      </c>
      <c r="F48" s="1410"/>
      <c r="G48" s="1410"/>
      <c r="H48" s="1410"/>
      <c r="I48" s="50"/>
      <c r="J48" s="50"/>
      <c r="K48" s="50"/>
      <c r="L48" s="50"/>
      <c r="M48" s="50"/>
      <c r="N48" s="50"/>
      <c r="O48" s="50"/>
      <c r="P48" s="50"/>
      <c r="Q48" s="50"/>
      <c r="R48" s="50"/>
      <c r="S48" s="50"/>
      <c r="T48" s="50"/>
      <c r="U48" s="50"/>
      <c r="V48" s="50"/>
      <c r="W48" s="50"/>
      <c r="X48" s="50"/>
      <c r="Y48" s="50"/>
      <c r="Z48" s="50"/>
      <c r="AA48" s="50"/>
      <c r="AB48" s="50"/>
      <c r="AC48" s="50"/>
      <c r="AD48" s="50"/>
      <c r="AE48" s="50"/>
      <c r="AF48" s="50"/>
      <c r="AG48" s="50"/>
      <c r="AH48" s="50"/>
      <c r="AI48" s="50"/>
      <c r="AJ48" s="50"/>
      <c r="AK48" s="50"/>
      <c r="AL48" s="50"/>
      <c r="AM48" s="50"/>
      <c r="AN48" s="50"/>
      <c r="AO48" s="50"/>
      <c r="AP48" s="50"/>
      <c r="AQ48" s="50"/>
      <c r="AR48" s="50"/>
      <c r="AS48" s="50"/>
      <c r="AT48" s="50"/>
      <c r="AU48" s="50"/>
      <c r="AV48" s="50"/>
      <c r="AW48" s="50"/>
      <c r="AX48" s="50"/>
      <c r="AY48" s="50"/>
      <c r="AZ48" s="50"/>
      <c r="BA48" s="50"/>
      <c r="BB48" s="50"/>
      <c r="BC48" s="50"/>
      <c r="BD48" s="50"/>
      <c r="BE48" s="50"/>
      <c r="BF48" s="50"/>
      <c r="BG48" s="50"/>
      <c r="BH48" s="50"/>
      <c r="BI48" s="50"/>
      <c r="BJ48" s="50"/>
      <c r="BK48" s="50"/>
      <c r="BL48" s="50"/>
      <c r="BM48" s="50"/>
      <c r="BN48" s="50"/>
      <c r="BO48" s="50"/>
      <c r="BP48" s="50"/>
      <c r="BQ48" s="50"/>
      <c r="BR48" s="50"/>
      <c r="BS48" s="50"/>
      <c r="BT48" s="50"/>
      <c r="BU48" s="50"/>
      <c r="BV48" s="50"/>
      <c r="BW48" s="50"/>
      <c r="BX48" s="50"/>
      <c r="BY48" s="50"/>
      <c r="BZ48" s="50"/>
      <c r="CA48" s="50"/>
      <c r="CB48" s="50"/>
      <c r="CC48" s="50"/>
      <c r="CD48" s="50"/>
      <c r="CE48" s="50"/>
      <c r="CF48" s="50"/>
      <c r="CG48" s="50"/>
      <c r="CH48" s="50"/>
      <c r="CI48" s="50"/>
      <c r="CJ48" s="50"/>
      <c r="CK48" s="50"/>
      <c r="CL48" s="50"/>
      <c r="CM48" s="50"/>
      <c r="CN48" s="50"/>
      <c r="CO48" s="50"/>
      <c r="CP48" s="50"/>
      <c r="CQ48" s="50"/>
      <c r="CR48" s="50"/>
      <c r="CS48" s="50"/>
      <c r="CT48" s="50"/>
      <c r="CU48" s="50"/>
      <c r="CV48" s="50"/>
      <c r="CW48" s="50"/>
      <c r="CX48" s="50"/>
      <c r="CY48" s="50"/>
      <c r="CZ48" s="50"/>
      <c r="DA48" s="50"/>
      <c r="DB48" s="50"/>
      <c r="DC48" s="50"/>
      <c r="DD48" s="50"/>
      <c r="DE48" s="50"/>
      <c r="DF48" s="50"/>
      <c r="DG48" s="50"/>
      <c r="DH48" s="50"/>
      <c r="DI48" s="50"/>
      <c r="DJ48" s="50"/>
      <c r="DK48" s="50"/>
      <c r="DL48" s="50"/>
      <c r="DM48" s="50"/>
      <c r="DN48" s="50"/>
      <c r="DO48" s="50"/>
      <c r="DP48" s="50"/>
      <c r="DQ48" s="50"/>
      <c r="DR48" s="50"/>
      <c r="DS48" s="50"/>
      <c r="DT48" s="50"/>
      <c r="DU48" s="50"/>
      <c r="DV48" s="50"/>
      <c r="DW48" s="50"/>
      <c r="DX48" s="50"/>
      <c r="DY48" s="50"/>
      <c r="DZ48" s="50"/>
      <c r="EA48" s="50"/>
      <c r="EB48" s="50"/>
      <c r="EC48" s="50"/>
      <c r="ED48" s="50"/>
      <c r="EE48" s="50"/>
      <c r="EF48" s="50"/>
      <c r="EG48" s="50"/>
      <c r="EH48" s="50"/>
      <c r="EI48" s="50"/>
      <c r="EJ48" s="50"/>
      <c r="EK48" s="50"/>
      <c r="EL48" s="50"/>
      <c r="EM48" s="50"/>
      <c r="EN48" s="50"/>
      <c r="EO48" s="50"/>
      <c r="EP48" s="50"/>
      <c r="EQ48" s="50"/>
      <c r="ER48" s="50"/>
      <c r="ES48" s="50"/>
      <c r="ET48" s="50"/>
      <c r="EU48" s="50"/>
      <c r="EV48" s="50"/>
      <c r="EW48" s="50"/>
      <c r="EX48" s="50"/>
      <c r="EY48" s="50"/>
      <c r="EZ48" s="50"/>
      <c r="FA48" s="50"/>
      <c r="FB48" s="50"/>
      <c r="FC48" s="50"/>
      <c r="FD48" s="50"/>
      <c r="FE48" s="50"/>
      <c r="FF48" s="50"/>
      <c r="FG48" s="50"/>
      <c r="FH48" s="50"/>
      <c r="FI48" s="50"/>
      <c r="FJ48" s="50"/>
      <c r="FK48" s="50"/>
      <c r="FL48" s="50"/>
      <c r="FM48" s="50"/>
      <c r="FN48" s="50"/>
      <c r="FO48" s="50"/>
      <c r="FP48" s="50"/>
      <c r="FQ48" s="50"/>
      <c r="FR48" s="50"/>
      <c r="FS48" s="50"/>
      <c r="FT48" s="50"/>
      <c r="FU48" s="50"/>
      <c r="FV48" s="50"/>
      <c r="FW48" s="50"/>
      <c r="FX48" s="50"/>
      <c r="FY48" s="50"/>
      <c r="FZ48" s="50"/>
      <c r="GA48" s="50"/>
      <c r="GB48" s="50"/>
      <c r="GC48" s="50"/>
      <c r="GD48" s="50"/>
      <c r="GE48" s="50"/>
      <c r="GF48" s="50"/>
      <c r="GG48" s="50"/>
      <c r="GH48" s="50"/>
      <c r="GI48" s="50"/>
      <c r="GJ48" s="50"/>
      <c r="GK48" s="50"/>
      <c r="GL48" s="50"/>
      <c r="GM48" s="50"/>
      <c r="GN48" s="50"/>
      <c r="GO48" s="50"/>
      <c r="GP48" s="50"/>
      <c r="GQ48" s="50"/>
      <c r="GR48" s="50"/>
      <c r="GS48" s="50"/>
      <c r="GT48" s="50"/>
      <c r="GU48" s="50"/>
      <c r="GV48" s="50"/>
      <c r="GW48" s="50"/>
      <c r="GX48" s="50"/>
      <c r="GY48" s="50"/>
      <c r="GZ48" s="50"/>
      <c r="HA48" s="50"/>
      <c r="HB48" s="50"/>
      <c r="HC48" s="50"/>
      <c r="HD48" s="50"/>
      <c r="HE48" s="50"/>
      <c r="HF48" s="50"/>
      <c r="HG48" s="50"/>
      <c r="HH48" s="50"/>
      <c r="HI48" s="50"/>
      <c r="HJ48" s="50"/>
      <c r="HK48" s="50"/>
      <c r="HL48" s="50"/>
      <c r="HM48" s="50"/>
      <c r="HN48" s="50"/>
      <c r="HO48" s="50"/>
      <c r="HP48" s="50"/>
      <c r="HQ48" s="50"/>
      <c r="HR48" s="50"/>
      <c r="HS48" s="50"/>
      <c r="HT48" s="50"/>
      <c r="HU48" s="50"/>
      <c r="HV48" s="50"/>
      <c r="HW48" s="50"/>
      <c r="HX48" s="50"/>
      <c r="HY48" s="50"/>
      <c r="HZ48" s="50"/>
      <c r="IA48" s="50"/>
      <c r="IB48" s="50"/>
      <c r="IC48" s="50"/>
      <c r="ID48" s="50"/>
      <c r="IE48" s="50"/>
      <c r="IF48" s="50"/>
      <c r="IG48" s="50"/>
      <c r="IH48" s="50"/>
      <c r="II48" s="50"/>
      <c r="IJ48" s="50"/>
      <c r="IK48" s="50"/>
      <c r="IL48" s="50"/>
      <c r="IM48" s="50"/>
      <c r="IN48" s="50"/>
      <c r="IO48" s="50"/>
      <c r="IP48" s="50"/>
      <c r="IQ48" s="50"/>
      <c r="IR48" s="50"/>
      <c r="IS48" s="50"/>
      <c r="IT48" s="50"/>
      <c r="IU48" s="50"/>
      <c r="IV48" s="50"/>
    </row>
    <row r="49" spans="1:256" ht="18" customHeight="1" x14ac:dyDescent="0.35">
      <c r="A49" s="1403">
        <v>40</v>
      </c>
      <c r="B49" s="50"/>
      <c r="C49" s="1407"/>
      <c r="D49" s="569" t="s">
        <v>931</v>
      </c>
      <c r="E49" s="1558">
        <v>935</v>
      </c>
      <c r="F49" s="1410"/>
      <c r="G49" s="1410"/>
      <c r="H49" s="1410"/>
      <c r="I49" s="50"/>
      <c r="J49" s="50"/>
      <c r="K49" s="50"/>
      <c r="L49" s="50"/>
      <c r="M49" s="50"/>
      <c r="N49" s="50"/>
      <c r="O49" s="50"/>
      <c r="P49" s="50"/>
      <c r="Q49" s="50"/>
      <c r="R49" s="50"/>
      <c r="S49" s="50"/>
      <c r="T49" s="50"/>
      <c r="U49" s="50"/>
      <c r="V49" s="50"/>
      <c r="W49" s="50"/>
      <c r="X49" s="50"/>
      <c r="Y49" s="50"/>
      <c r="Z49" s="50"/>
      <c r="AA49" s="50"/>
      <c r="AB49" s="50"/>
      <c r="AC49" s="50"/>
      <c r="AD49" s="50"/>
      <c r="AE49" s="50"/>
      <c r="AF49" s="50"/>
      <c r="AG49" s="50"/>
      <c r="AH49" s="50"/>
      <c r="AI49" s="50"/>
      <c r="AJ49" s="50"/>
      <c r="AK49" s="50"/>
      <c r="AL49" s="50"/>
      <c r="AM49" s="50"/>
      <c r="AN49" s="50"/>
      <c r="AO49" s="50"/>
      <c r="AP49" s="50"/>
      <c r="AQ49" s="50"/>
      <c r="AR49" s="50"/>
      <c r="AS49" s="50"/>
      <c r="AT49" s="50"/>
      <c r="AU49" s="50"/>
      <c r="AV49" s="50"/>
      <c r="AW49" s="50"/>
      <c r="AX49" s="50"/>
      <c r="AY49" s="50"/>
      <c r="AZ49" s="50"/>
      <c r="BA49" s="50"/>
      <c r="BB49" s="50"/>
      <c r="BC49" s="50"/>
      <c r="BD49" s="50"/>
      <c r="BE49" s="50"/>
      <c r="BF49" s="50"/>
      <c r="BG49" s="50"/>
      <c r="BH49" s="50"/>
      <c r="BI49" s="50"/>
      <c r="BJ49" s="50"/>
      <c r="BK49" s="50"/>
      <c r="BL49" s="50"/>
      <c r="BM49" s="50"/>
      <c r="BN49" s="50"/>
      <c r="BO49" s="50"/>
      <c r="BP49" s="50"/>
      <c r="BQ49" s="50"/>
      <c r="BR49" s="50"/>
      <c r="BS49" s="50"/>
      <c r="BT49" s="50"/>
      <c r="BU49" s="50"/>
      <c r="BV49" s="50"/>
      <c r="BW49" s="50"/>
      <c r="BX49" s="50"/>
      <c r="BY49" s="50"/>
      <c r="BZ49" s="50"/>
      <c r="CA49" s="50"/>
      <c r="CB49" s="50"/>
      <c r="CC49" s="50"/>
      <c r="CD49" s="50"/>
      <c r="CE49" s="50"/>
      <c r="CF49" s="50"/>
      <c r="CG49" s="50"/>
      <c r="CH49" s="50"/>
      <c r="CI49" s="50"/>
      <c r="CJ49" s="50"/>
      <c r="CK49" s="50"/>
      <c r="CL49" s="50"/>
      <c r="CM49" s="50"/>
      <c r="CN49" s="50"/>
      <c r="CO49" s="50"/>
      <c r="CP49" s="50"/>
      <c r="CQ49" s="50"/>
      <c r="CR49" s="50"/>
      <c r="CS49" s="50"/>
      <c r="CT49" s="50"/>
      <c r="CU49" s="50"/>
      <c r="CV49" s="50"/>
      <c r="CW49" s="50"/>
      <c r="CX49" s="50"/>
      <c r="CY49" s="50"/>
      <c r="CZ49" s="50"/>
      <c r="DA49" s="50"/>
      <c r="DB49" s="50"/>
      <c r="DC49" s="50"/>
      <c r="DD49" s="50"/>
      <c r="DE49" s="50"/>
      <c r="DF49" s="50"/>
      <c r="DG49" s="50"/>
      <c r="DH49" s="50"/>
      <c r="DI49" s="50"/>
      <c r="DJ49" s="50"/>
      <c r="DK49" s="50"/>
      <c r="DL49" s="50"/>
      <c r="DM49" s="50"/>
      <c r="DN49" s="50"/>
      <c r="DO49" s="50"/>
      <c r="DP49" s="50"/>
      <c r="DQ49" s="50"/>
      <c r="DR49" s="50"/>
      <c r="DS49" s="50"/>
      <c r="DT49" s="50"/>
      <c r="DU49" s="50"/>
      <c r="DV49" s="50"/>
      <c r="DW49" s="50"/>
      <c r="DX49" s="50"/>
      <c r="DY49" s="50"/>
      <c r="DZ49" s="50"/>
      <c r="EA49" s="50"/>
      <c r="EB49" s="50"/>
      <c r="EC49" s="50"/>
      <c r="ED49" s="50"/>
      <c r="EE49" s="50"/>
      <c r="EF49" s="50"/>
      <c r="EG49" s="50"/>
      <c r="EH49" s="50"/>
      <c r="EI49" s="50"/>
      <c r="EJ49" s="50"/>
      <c r="EK49" s="50"/>
      <c r="EL49" s="50"/>
      <c r="EM49" s="50"/>
      <c r="EN49" s="50"/>
      <c r="EO49" s="50"/>
      <c r="EP49" s="50"/>
      <c r="EQ49" s="50"/>
      <c r="ER49" s="50"/>
      <c r="ES49" s="50"/>
      <c r="ET49" s="50"/>
      <c r="EU49" s="50"/>
      <c r="EV49" s="50"/>
      <c r="EW49" s="50"/>
      <c r="EX49" s="50"/>
      <c r="EY49" s="50"/>
      <c r="EZ49" s="50"/>
      <c r="FA49" s="50"/>
      <c r="FB49" s="50"/>
      <c r="FC49" s="50"/>
      <c r="FD49" s="50"/>
      <c r="FE49" s="50"/>
      <c r="FF49" s="50"/>
      <c r="FG49" s="50"/>
      <c r="FH49" s="50"/>
      <c r="FI49" s="50"/>
      <c r="FJ49" s="50"/>
      <c r="FK49" s="50"/>
      <c r="FL49" s="50"/>
      <c r="FM49" s="50"/>
      <c r="FN49" s="50"/>
      <c r="FO49" s="50"/>
      <c r="FP49" s="50"/>
      <c r="FQ49" s="50"/>
      <c r="FR49" s="50"/>
      <c r="FS49" s="50"/>
      <c r="FT49" s="50"/>
      <c r="FU49" s="50"/>
      <c r="FV49" s="50"/>
      <c r="FW49" s="50"/>
      <c r="FX49" s="50"/>
      <c r="FY49" s="50"/>
      <c r="FZ49" s="50"/>
      <c r="GA49" s="50"/>
      <c r="GB49" s="50"/>
      <c r="GC49" s="50"/>
      <c r="GD49" s="50"/>
      <c r="GE49" s="50"/>
      <c r="GF49" s="50"/>
      <c r="GG49" s="50"/>
      <c r="GH49" s="50"/>
      <c r="GI49" s="50"/>
      <c r="GJ49" s="50"/>
      <c r="GK49" s="50"/>
      <c r="GL49" s="50"/>
      <c r="GM49" s="50"/>
      <c r="GN49" s="50"/>
      <c r="GO49" s="50"/>
      <c r="GP49" s="50"/>
      <c r="GQ49" s="50"/>
      <c r="GR49" s="50"/>
      <c r="GS49" s="50"/>
      <c r="GT49" s="50"/>
      <c r="GU49" s="50"/>
      <c r="GV49" s="50"/>
      <c r="GW49" s="50"/>
      <c r="GX49" s="50"/>
      <c r="GY49" s="50"/>
      <c r="GZ49" s="50"/>
      <c r="HA49" s="50"/>
      <c r="HB49" s="50"/>
      <c r="HC49" s="50"/>
      <c r="HD49" s="50"/>
      <c r="HE49" s="50"/>
      <c r="HF49" s="50"/>
      <c r="HG49" s="50"/>
      <c r="HH49" s="50"/>
      <c r="HI49" s="50"/>
      <c r="HJ49" s="50"/>
      <c r="HK49" s="50"/>
      <c r="HL49" s="50"/>
      <c r="HM49" s="50"/>
      <c r="HN49" s="50"/>
      <c r="HO49" s="50"/>
      <c r="HP49" s="50"/>
      <c r="HQ49" s="50"/>
      <c r="HR49" s="50"/>
      <c r="HS49" s="50"/>
      <c r="HT49" s="50"/>
      <c r="HU49" s="50"/>
      <c r="HV49" s="50"/>
      <c r="HW49" s="50"/>
      <c r="HX49" s="50"/>
      <c r="HY49" s="50"/>
      <c r="HZ49" s="50"/>
      <c r="IA49" s="50"/>
      <c r="IB49" s="50"/>
      <c r="IC49" s="50"/>
      <c r="ID49" s="50"/>
      <c r="IE49" s="50"/>
      <c r="IF49" s="50"/>
      <c r="IG49" s="50"/>
      <c r="IH49" s="50"/>
      <c r="II49" s="50"/>
      <c r="IJ49" s="50"/>
      <c r="IK49" s="50"/>
      <c r="IL49" s="50"/>
      <c r="IM49" s="50"/>
      <c r="IN49" s="50"/>
      <c r="IO49" s="50"/>
      <c r="IP49" s="50"/>
      <c r="IQ49" s="50"/>
      <c r="IR49" s="50"/>
      <c r="IS49" s="50"/>
      <c r="IT49" s="50"/>
      <c r="IU49" s="50"/>
      <c r="IV49" s="50"/>
    </row>
    <row r="50" spans="1:256" ht="18" customHeight="1" x14ac:dyDescent="0.35">
      <c r="A50" s="1403">
        <v>41</v>
      </c>
      <c r="B50" s="50"/>
      <c r="C50" s="1407"/>
      <c r="D50" s="1549" t="s">
        <v>101</v>
      </c>
      <c r="E50" s="1555">
        <f>SUM(E45:E49)</f>
        <v>26188</v>
      </c>
      <c r="F50" s="1410"/>
      <c r="G50" s="1410"/>
      <c r="H50" s="1410"/>
      <c r="I50" s="50"/>
      <c r="J50" s="50"/>
      <c r="K50" s="50"/>
      <c r="L50" s="50"/>
      <c r="M50" s="50"/>
      <c r="N50" s="50"/>
      <c r="O50" s="50"/>
      <c r="P50" s="50"/>
      <c r="Q50" s="50"/>
      <c r="R50" s="50"/>
      <c r="S50" s="50"/>
      <c r="T50" s="50"/>
      <c r="U50" s="50"/>
      <c r="V50" s="50"/>
      <c r="W50" s="50"/>
      <c r="X50" s="50"/>
      <c r="Y50" s="50"/>
      <c r="Z50" s="50"/>
      <c r="AA50" s="50"/>
      <c r="AB50" s="50"/>
      <c r="AC50" s="50"/>
      <c r="AD50" s="50"/>
      <c r="AE50" s="50"/>
      <c r="AF50" s="50"/>
      <c r="AG50" s="50"/>
      <c r="AH50" s="50"/>
      <c r="AI50" s="50"/>
      <c r="AJ50" s="50"/>
      <c r="AK50" s="50"/>
      <c r="AL50" s="50"/>
      <c r="AM50" s="50"/>
      <c r="AN50" s="50"/>
      <c r="AO50" s="50"/>
      <c r="AP50" s="50"/>
      <c r="AQ50" s="50"/>
      <c r="AR50" s="50"/>
      <c r="AS50" s="50"/>
      <c r="AT50" s="50"/>
      <c r="AU50" s="50"/>
      <c r="AV50" s="50"/>
      <c r="AW50" s="50"/>
      <c r="AX50" s="50"/>
      <c r="AY50" s="50"/>
      <c r="AZ50" s="50"/>
      <c r="BA50" s="50"/>
      <c r="BB50" s="50"/>
      <c r="BC50" s="50"/>
      <c r="BD50" s="50"/>
      <c r="BE50" s="50"/>
      <c r="BF50" s="50"/>
      <c r="BG50" s="50"/>
      <c r="BH50" s="50"/>
      <c r="BI50" s="50"/>
      <c r="BJ50" s="50"/>
      <c r="BK50" s="50"/>
      <c r="BL50" s="50"/>
      <c r="BM50" s="50"/>
      <c r="BN50" s="50"/>
      <c r="BO50" s="50"/>
      <c r="BP50" s="50"/>
      <c r="BQ50" s="50"/>
      <c r="BR50" s="50"/>
      <c r="BS50" s="50"/>
      <c r="BT50" s="50"/>
      <c r="BU50" s="50"/>
      <c r="BV50" s="50"/>
      <c r="BW50" s="50"/>
      <c r="BX50" s="50"/>
      <c r="BY50" s="50"/>
      <c r="BZ50" s="50"/>
      <c r="CA50" s="50"/>
      <c r="CB50" s="50"/>
      <c r="CC50" s="50"/>
      <c r="CD50" s="50"/>
      <c r="CE50" s="50"/>
      <c r="CF50" s="50"/>
      <c r="CG50" s="50"/>
      <c r="CH50" s="50"/>
      <c r="CI50" s="50"/>
      <c r="CJ50" s="50"/>
      <c r="CK50" s="50"/>
      <c r="CL50" s="50"/>
      <c r="CM50" s="50"/>
      <c r="CN50" s="50"/>
      <c r="CO50" s="50"/>
      <c r="CP50" s="50"/>
      <c r="CQ50" s="50"/>
      <c r="CR50" s="50"/>
      <c r="CS50" s="50"/>
      <c r="CT50" s="50"/>
      <c r="CU50" s="50"/>
      <c r="CV50" s="50"/>
      <c r="CW50" s="50"/>
      <c r="CX50" s="50"/>
      <c r="CY50" s="50"/>
      <c r="CZ50" s="50"/>
      <c r="DA50" s="50"/>
      <c r="DB50" s="50"/>
      <c r="DC50" s="50"/>
      <c r="DD50" s="50"/>
      <c r="DE50" s="50"/>
      <c r="DF50" s="50"/>
      <c r="DG50" s="50"/>
      <c r="DH50" s="50"/>
      <c r="DI50" s="50"/>
      <c r="DJ50" s="50"/>
      <c r="DK50" s="50"/>
      <c r="DL50" s="50"/>
      <c r="DM50" s="50"/>
      <c r="DN50" s="50"/>
      <c r="DO50" s="50"/>
      <c r="DP50" s="50"/>
      <c r="DQ50" s="50"/>
      <c r="DR50" s="50"/>
      <c r="DS50" s="50"/>
      <c r="DT50" s="50"/>
      <c r="DU50" s="50"/>
      <c r="DV50" s="50"/>
      <c r="DW50" s="50"/>
      <c r="DX50" s="50"/>
      <c r="DY50" s="50"/>
      <c r="DZ50" s="50"/>
      <c r="EA50" s="50"/>
      <c r="EB50" s="50"/>
      <c r="EC50" s="50"/>
      <c r="ED50" s="50"/>
      <c r="EE50" s="50"/>
      <c r="EF50" s="50"/>
      <c r="EG50" s="50"/>
      <c r="EH50" s="50"/>
      <c r="EI50" s="50"/>
      <c r="EJ50" s="50"/>
      <c r="EK50" s="50"/>
      <c r="EL50" s="50"/>
      <c r="EM50" s="50"/>
      <c r="EN50" s="50"/>
      <c r="EO50" s="50"/>
      <c r="EP50" s="50"/>
      <c r="EQ50" s="50"/>
      <c r="ER50" s="50"/>
      <c r="ES50" s="50"/>
      <c r="ET50" s="50"/>
      <c r="EU50" s="50"/>
      <c r="EV50" s="50"/>
      <c r="EW50" s="50"/>
      <c r="EX50" s="50"/>
      <c r="EY50" s="50"/>
      <c r="EZ50" s="50"/>
      <c r="FA50" s="50"/>
      <c r="FB50" s="50"/>
      <c r="FC50" s="50"/>
      <c r="FD50" s="50"/>
      <c r="FE50" s="50"/>
      <c r="FF50" s="50"/>
      <c r="FG50" s="50"/>
      <c r="FH50" s="50"/>
      <c r="FI50" s="50"/>
      <c r="FJ50" s="50"/>
      <c r="FK50" s="50"/>
      <c r="FL50" s="50"/>
      <c r="FM50" s="50"/>
      <c r="FN50" s="50"/>
      <c r="FO50" s="50"/>
      <c r="FP50" s="50"/>
      <c r="FQ50" s="50"/>
      <c r="FR50" s="50"/>
      <c r="FS50" s="50"/>
      <c r="FT50" s="50"/>
      <c r="FU50" s="50"/>
      <c r="FV50" s="50"/>
      <c r="FW50" s="50"/>
      <c r="FX50" s="50"/>
      <c r="FY50" s="50"/>
      <c r="FZ50" s="50"/>
      <c r="GA50" s="50"/>
      <c r="GB50" s="50"/>
      <c r="GC50" s="50"/>
      <c r="GD50" s="50"/>
      <c r="GE50" s="50"/>
      <c r="GF50" s="50"/>
      <c r="GG50" s="50"/>
      <c r="GH50" s="50"/>
      <c r="GI50" s="50"/>
      <c r="GJ50" s="50"/>
      <c r="GK50" s="50"/>
      <c r="GL50" s="50"/>
      <c r="GM50" s="50"/>
      <c r="GN50" s="50"/>
      <c r="GO50" s="50"/>
      <c r="GP50" s="50"/>
      <c r="GQ50" s="50"/>
      <c r="GR50" s="50"/>
      <c r="GS50" s="50"/>
      <c r="GT50" s="50"/>
      <c r="GU50" s="50"/>
      <c r="GV50" s="50"/>
      <c r="GW50" s="50"/>
      <c r="GX50" s="50"/>
      <c r="GY50" s="50"/>
      <c r="GZ50" s="50"/>
      <c r="HA50" s="50"/>
      <c r="HB50" s="50"/>
      <c r="HC50" s="50"/>
      <c r="HD50" s="50"/>
      <c r="HE50" s="50"/>
      <c r="HF50" s="50"/>
      <c r="HG50" s="50"/>
      <c r="HH50" s="50"/>
      <c r="HI50" s="50"/>
      <c r="HJ50" s="50"/>
      <c r="HK50" s="50"/>
      <c r="HL50" s="50"/>
      <c r="HM50" s="50"/>
      <c r="HN50" s="50"/>
      <c r="HO50" s="50"/>
      <c r="HP50" s="50"/>
      <c r="HQ50" s="50"/>
      <c r="HR50" s="50"/>
      <c r="HS50" s="50"/>
      <c r="HT50" s="50"/>
      <c r="HU50" s="50"/>
      <c r="HV50" s="50"/>
      <c r="HW50" s="50"/>
      <c r="HX50" s="50"/>
      <c r="HY50" s="50"/>
      <c r="HZ50" s="50"/>
      <c r="IA50" s="50"/>
      <c r="IB50" s="50"/>
      <c r="IC50" s="50"/>
      <c r="ID50" s="50"/>
      <c r="IE50" s="50"/>
      <c r="IF50" s="50"/>
      <c r="IG50" s="50"/>
      <c r="IH50" s="50"/>
      <c r="II50" s="50"/>
      <c r="IJ50" s="50"/>
      <c r="IK50" s="50"/>
      <c r="IL50" s="50"/>
      <c r="IM50" s="50"/>
      <c r="IN50" s="50"/>
      <c r="IO50" s="50"/>
      <c r="IP50" s="50"/>
      <c r="IQ50" s="50"/>
      <c r="IR50" s="50"/>
      <c r="IS50" s="50"/>
      <c r="IT50" s="50"/>
      <c r="IU50" s="50"/>
      <c r="IV50" s="50"/>
    </row>
    <row r="51" spans="1:256" ht="24.75" customHeight="1" x14ac:dyDescent="0.35">
      <c r="A51" s="1403">
        <v>42</v>
      </c>
      <c r="B51" s="50"/>
      <c r="C51" s="1407" t="s">
        <v>753</v>
      </c>
      <c r="D51" s="1550" t="s">
        <v>754</v>
      </c>
      <c r="E51" s="1554"/>
      <c r="F51" s="1410"/>
      <c r="G51" s="1410"/>
      <c r="H51" s="1410"/>
      <c r="I51" s="50"/>
      <c r="J51" s="50"/>
      <c r="K51" s="50"/>
      <c r="L51" s="50"/>
      <c r="M51" s="50"/>
      <c r="N51" s="50"/>
      <c r="O51" s="50"/>
      <c r="P51" s="50"/>
      <c r="Q51" s="50"/>
      <c r="R51" s="50"/>
      <c r="S51" s="50"/>
      <c r="T51" s="50"/>
      <c r="U51" s="50"/>
      <c r="V51" s="50"/>
      <c r="W51" s="50"/>
      <c r="X51" s="50"/>
      <c r="Y51" s="50"/>
      <c r="Z51" s="50"/>
      <c r="AA51" s="50"/>
      <c r="AB51" s="50"/>
      <c r="AC51" s="50"/>
      <c r="AD51" s="50"/>
      <c r="AE51" s="50"/>
      <c r="AF51" s="50"/>
      <c r="AG51" s="50"/>
      <c r="AH51" s="50"/>
      <c r="AI51" s="50"/>
      <c r="AJ51" s="50"/>
      <c r="AK51" s="50"/>
      <c r="AL51" s="50"/>
      <c r="AM51" s="50"/>
      <c r="AN51" s="50"/>
      <c r="AO51" s="50"/>
      <c r="AP51" s="50"/>
      <c r="AQ51" s="50"/>
      <c r="AR51" s="50"/>
      <c r="AS51" s="50"/>
      <c r="AT51" s="50"/>
      <c r="AU51" s="50"/>
      <c r="AV51" s="50"/>
      <c r="AW51" s="50"/>
      <c r="AX51" s="50"/>
      <c r="AY51" s="50"/>
      <c r="AZ51" s="50"/>
      <c r="BA51" s="50"/>
      <c r="BB51" s="50"/>
      <c r="BC51" s="50"/>
      <c r="BD51" s="50"/>
      <c r="BE51" s="50"/>
      <c r="BF51" s="50"/>
      <c r="BG51" s="50"/>
      <c r="BH51" s="50"/>
      <c r="BI51" s="50"/>
      <c r="BJ51" s="50"/>
      <c r="BK51" s="50"/>
      <c r="BL51" s="50"/>
      <c r="BM51" s="50"/>
      <c r="BN51" s="50"/>
      <c r="BO51" s="50"/>
      <c r="BP51" s="50"/>
      <c r="BQ51" s="50"/>
      <c r="BR51" s="50"/>
      <c r="BS51" s="50"/>
      <c r="BT51" s="50"/>
      <c r="BU51" s="50"/>
      <c r="BV51" s="50"/>
      <c r="BW51" s="50"/>
      <c r="BX51" s="50"/>
      <c r="BY51" s="50"/>
      <c r="BZ51" s="50"/>
      <c r="CA51" s="50"/>
      <c r="CB51" s="50"/>
      <c r="CC51" s="50"/>
      <c r="CD51" s="50"/>
      <c r="CE51" s="50"/>
      <c r="CF51" s="50"/>
      <c r="CG51" s="50"/>
      <c r="CH51" s="50"/>
      <c r="CI51" s="50"/>
      <c r="CJ51" s="50"/>
      <c r="CK51" s="50"/>
      <c r="CL51" s="50"/>
      <c r="CM51" s="50"/>
      <c r="CN51" s="50"/>
      <c r="CO51" s="50"/>
      <c r="CP51" s="50"/>
      <c r="CQ51" s="50"/>
      <c r="CR51" s="50"/>
      <c r="CS51" s="50"/>
      <c r="CT51" s="50"/>
      <c r="CU51" s="50"/>
      <c r="CV51" s="50"/>
      <c r="CW51" s="50"/>
      <c r="CX51" s="50"/>
      <c r="CY51" s="50"/>
      <c r="CZ51" s="50"/>
      <c r="DA51" s="50"/>
      <c r="DB51" s="50"/>
      <c r="DC51" s="50"/>
      <c r="DD51" s="50"/>
      <c r="DE51" s="50"/>
      <c r="DF51" s="50"/>
      <c r="DG51" s="50"/>
      <c r="DH51" s="50"/>
      <c r="DI51" s="50"/>
      <c r="DJ51" s="50"/>
      <c r="DK51" s="50"/>
      <c r="DL51" s="50"/>
      <c r="DM51" s="50"/>
      <c r="DN51" s="50"/>
      <c r="DO51" s="50"/>
      <c r="DP51" s="50"/>
      <c r="DQ51" s="50"/>
      <c r="DR51" s="50"/>
      <c r="DS51" s="50"/>
      <c r="DT51" s="50"/>
      <c r="DU51" s="50"/>
      <c r="DV51" s="50"/>
      <c r="DW51" s="50"/>
      <c r="DX51" s="50"/>
      <c r="DY51" s="50"/>
      <c r="DZ51" s="50"/>
      <c r="EA51" s="50"/>
      <c r="EB51" s="50"/>
      <c r="EC51" s="50"/>
      <c r="ED51" s="50"/>
      <c r="EE51" s="50"/>
      <c r="EF51" s="50"/>
      <c r="EG51" s="50"/>
      <c r="EH51" s="50"/>
      <c r="EI51" s="50"/>
      <c r="EJ51" s="50"/>
      <c r="EK51" s="50"/>
      <c r="EL51" s="50"/>
      <c r="EM51" s="50"/>
      <c r="EN51" s="50"/>
      <c r="EO51" s="50"/>
      <c r="EP51" s="50"/>
      <c r="EQ51" s="50"/>
      <c r="ER51" s="50"/>
      <c r="ES51" s="50"/>
      <c r="ET51" s="50"/>
      <c r="EU51" s="50"/>
      <c r="EV51" s="50"/>
      <c r="EW51" s="50"/>
      <c r="EX51" s="50"/>
      <c r="EY51" s="50"/>
      <c r="EZ51" s="50"/>
      <c r="FA51" s="50"/>
      <c r="FB51" s="50"/>
      <c r="FC51" s="50"/>
      <c r="FD51" s="50"/>
      <c r="FE51" s="50"/>
      <c r="FF51" s="50"/>
      <c r="FG51" s="50"/>
      <c r="FH51" s="50"/>
      <c r="FI51" s="50"/>
      <c r="FJ51" s="50"/>
      <c r="FK51" s="50"/>
      <c r="FL51" s="50"/>
      <c r="FM51" s="50"/>
      <c r="FN51" s="50"/>
      <c r="FO51" s="50"/>
      <c r="FP51" s="50"/>
      <c r="FQ51" s="50"/>
      <c r="FR51" s="50"/>
      <c r="FS51" s="50"/>
      <c r="FT51" s="50"/>
      <c r="FU51" s="50"/>
      <c r="FV51" s="50"/>
      <c r="FW51" s="50"/>
      <c r="FX51" s="50"/>
      <c r="FY51" s="50"/>
      <c r="FZ51" s="50"/>
      <c r="GA51" s="50"/>
      <c r="GB51" s="50"/>
      <c r="GC51" s="50"/>
      <c r="GD51" s="50"/>
      <c r="GE51" s="50"/>
      <c r="GF51" s="50"/>
      <c r="GG51" s="50"/>
      <c r="GH51" s="50"/>
      <c r="GI51" s="50"/>
      <c r="GJ51" s="50"/>
      <c r="GK51" s="50"/>
      <c r="GL51" s="50"/>
      <c r="GM51" s="50"/>
      <c r="GN51" s="50"/>
      <c r="GO51" s="50"/>
      <c r="GP51" s="50"/>
      <c r="GQ51" s="50"/>
      <c r="GR51" s="50"/>
      <c r="GS51" s="50"/>
      <c r="GT51" s="50"/>
      <c r="GU51" s="50"/>
      <c r="GV51" s="50"/>
      <c r="GW51" s="50"/>
      <c r="GX51" s="50"/>
      <c r="GY51" s="50"/>
      <c r="GZ51" s="50"/>
      <c r="HA51" s="50"/>
      <c r="HB51" s="50"/>
      <c r="HC51" s="50"/>
      <c r="HD51" s="50"/>
      <c r="HE51" s="50"/>
      <c r="HF51" s="50"/>
      <c r="HG51" s="50"/>
      <c r="HH51" s="50"/>
      <c r="HI51" s="50"/>
      <c r="HJ51" s="50"/>
      <c r="HK51" s="50"/>
      <c r="HL51" s="50"/>
      <c r="HM51" s="50"/>
      <c r="HN51" s="50"/>
      <c r="HO51" s="50"/>
      <c r="HP51" s="50"/>
      <c r="HQ51" s="50"/>
      <c r="HR51" s="50"/>
      <c r="HS51" s="50"/>
      <c r="HT51" s="50"/>
      <c r="HU51" s="50"/>
      <c r="HV51" s="50"/>
      <c r="HW51" s="50"/>
      <c r="HX51" s="50"/>
      <c r="HY51" s="50"/>
      <c r="HZ51" s="50"/>
      <c r="IA51" s="50"/>
      <c r="IB51" s="50"/>
      <c r="IC51" s="50"/>
      <c r="ID51" s="50"/>
      <c r="IE51" s="50"/>
      <c r="IF51" s="50"/>
      <c r="IG51" s="50"/>
      <c r="IH51" s="50"/>
      <c r="II51" s="50"/>
      <c r="IJ51" s="50"/>
      <c r="IK51" s="50"/>
      <c r="IL51" s="50"/>
      <c r="IM51" s="50"/>
      <c r="IN51" s="50"/>
      <c r="IO51" s="50"/>
      <c r="IP51" s="50"/>
      <c r="IQ51" s="50"/>
      <c r="IR51" s="50"/>
      <c r="IS51" s="50"/>
      <c r="IT51" s="50"/>
      <c r="IU51" s="50"/>
      <c r="IV51" s="50"/>
    </row>
    <row r="52" spans="1:256" ht="17.25" x14ac:dyDescent="0.35">
      <c r="A52" s="1403">
        <v>43</v>
      </c>
      <c r="B52" s="50"/>
      <c r="C52" s="19"/>
      <c r="D52" s="569" t="s">
        <v>932</v>
      </c>
      <c r="E52" s="1555">
        <v>784</v>
      </c>
      <c r="F52" s="1410"/>
      <c r="G52" s="1410"/>
      <c r="H52" s="1410"/>
      <c r="I52" s="50"/>
      <c r="J52" s="50"/>
      <c r="K52" s="50"/>
      <c r="L52" s="50"/>
      <c r="M52" s="50"/>
      <c r="N52" s="50"/>
      <c r="O52" s="50"/>
      <c r="P52" s="50"/>
      <c r="Q52" s="50"/>
      <c r="R52" s="50"/>
      <c r="S52" s="50"/>
      <c r="T52" s="50"/>
      <c r="U52" s="50"/>
      <c r="V52" s="50"/>
      <c r="W52" s="50"/>
      <c r="X52" s="50"/>
      <c r="Y52" s="50"/>
      <c r="Z52" s="50"/>
      <c r="AA52" s="50"/>
      <c r="AB52" s="50"/>
      <c r="AC52" s="50"/>
      <c r="AD52" s="50"/>
      <c r="AE52" s="50"/>
      <c r="AF52" s="50"/>
      <c r="AG52" s="50"/>
      <c r="AH52" s="50"/>
      <c r="AI52" s="50"/>
      <c r="AJ52" s="50"/>
      <c r="AK52" s="50"/>
      <c r="AL52" s="50"/>
      <c r="AM52" s="50"/>
      <c r="AN52" s="50"/>
      <c r="AO52" s="50"/>
      <c r="AP52" s="50"/>
      <c r="AQ52" s="50"/>
      <c r="AR52" s="50"/>
      <c r="AS52" s="50"/>
      <c r="AT52" s="50"/>
      <c r="AU52" s="50"/>
      <c r="AV52" s="50"/>
      <c r="AW52" s="50"/>
      <c r="AX52" s="50"/>
      <c r="AY52" s="50"/>
      <c r="AZ52" s="50"/>
      <c r="BA52" s="50"/>
      <c r="BB52" s="50"/>
      <c r="BC52" s="50"/>
      <c r="BD52" s="50"/>
      <c r="BE52" s="50"/>
      <c r="BF52" s="50"/>
      <c r="BG52" s="50"/>
      <c r="BH52" s="50"/>
      <c r="BI52" s="50"/>
      <c r="BJ52" s="50"/>
      <c r="BK52" s="50"/>
      <c r="BL52" s="50"/>
      <c r="BM52" s="50"/>
      <c r="BN52" s="50"/>
      <c r="BO52" s="50"/>
      <c r="BP52" s="50"/>
      <c r="BQ52" s="50"/>
      <c r="BR52" s="50"/>
      <c r="BS52" s="50"/>
      <c r="BT52" s="50"/>
      <c r="BU52" s="50"/>
      <c r="BV52" s="50"/>
      <c r="BW52" s="50"/>
      <c r="BX52" s="50"/>
      <c r="BY52" s="50"/>
      <c r="BZ52" s="50"/>
      <c r="CA52" s="50"/>
      <c r="CB52" s="50"/>
      <c r="CC52" s="50"/>
      <c r="CD52" s="50"/>
      <c r="CE52" s="50"/>
      <c r="CF52" s="50"/>
      <c r="CG52" s="50"/>
      <c r="CH52" s="50"/>
      <c r="CI52" s="50"/>
      <c r="CJ52" s="50"/>
      <c r="CK52" s="50"/>
      <c r="CL52" s="50"/>
      <c r="CM52" s="50"/>
      <c r="CN52" s="50"/>
      <c r="CO52" s="50"/>
      <c r="CP52" s="50"/>
      <c r="CQ52" s="50"/>
      <c r="CR52" s="50"/>
      <c r="CS52" s="50"/>
      <c r="CT52" s="50"/>
      <c r="CU52" s="50"/>
      <c r="CV52" s="50"/>
      <c r="CW52" s="50"/>
      <c r="CX52" s="50"/>
      <c r="CY52" s="50"/>
      <c r="CZ52" s="50"/>
      <c r="DA52" s="50"/>
      <c r="DB52" s="50"/>
      <c r="DC52" s="50"/>
      <c r="DD52" s="50"/>
      <c r="DE52" s="50"/>
      <c r="DF52" s="50"/>
      <c r="DG52" s="50"/>
      <c r="DH52" s="50"/>
      <c r="DI52" s="50"/>
      <c r="DJ52" s="50"/>
      <c r="DK52" s="50"/>
      <c r="DL52" s="50"/>
      <c r="DM52" s="50"/>
      <c r="DN52" s="50"/>
      <c r="DO52" s="50"/>
      <c r="DP52" s="50"/>
      <c r="DQ52" s="50"/>
      <c r="DR52" s="50"/>
      <c r="DS52" s="50"/>
      <c r="DT52" s="50"/>
      <c r="DU52" s="50"/>
      <c r="DV52" s="50"/>
      <c r="DW52" s="50"/>
      <c r="DX52" s="50"/>
      <c r="DY52" s="50"/>
      <c r="DZ52" s="50"/>
      <c r="EA52" s="50"/>
      <c r="EB52" s="50"/>
      <c r="EC52" s="50"/>
      <c r="ED52" s="50"/>
      <c r="EE52" s="50"/>
      <c r="EF52" s="50"/>
      <c r="EG52" s="50"/>
      <c r="EH52" s="50"/>
      <c r="EI52" s="50"/>
      <c r="EJ52" s="50"/>
      <c r="EK52" s="50"/>
      <c r="EL52" s="50"/>
      <c r="EM52" s="50"/>
      <c r="EN52" s="50"/>
      <c r="EO52" s="50"/>
      <c r="EP52" s="50"/>
      <c r="EQ52" s="50"/>
      <c r="ER52" s="50"/>
      <c r="ES52" s="50"/>
      <c r="ET52" s="50"/>
      <c r="EU52" s="50"/>
      <c r="EV52" s="50"/>
      <c r="EW52" s="50"/>
      <c r="EX52" s="50"/>
      <c r="EY52" s="50"/>
      <c r="EZ52" s="50"/>
      <c r="FA52" s="50"/>
      <c r="FB52" s="50"/>
      <c r="FC52" s="50"/>
      <c r="FD52" s="50"/>
      <c r="FE52" s="50"/>
      <c r="FF52" s="50"/>
      <c r="FG52" s="50"/>
      <c r="FH52" s="50"/>
      <c r="FI52" s="50"/>
      <c r="FJ52" s="50"/>
      <c r="FK52" s="50"/>
      <c r="FL52" s="50"/>
      <c r="FM52" s="50"/>
      <c r="FN52" s="50"/>
      <c r="FO52" s="50"/>
      <c r="FP52" s="50"/>
      <c r="FQ52" s="50"/>
      <c r="FR52" s="50"/>
      <c r="FS52" s="50"/>
      <c r="FT52" s="50"/>
      <c r="FU52" s="50"/>
      <c r="FV52" s="50"/>
      <c r="FW52" s="50"/>
      <c r="FX52" s="50"/>
      <c r="FY52" s="50"/>
      <c r="FZ52" s="50"/>
      <c r="GA52" s="50"/>
      <c r="GB52" s="50"/>
      <c r="GC52" s="50"/>
      <c r="GD52" s="50"/>
      <c r="GE52" s="50"/>
      <c r="GF52" s="50"/>
      <c r="GG52" s="50"/>
      <c r="GH52" s="50"/>
      <c r="GI52" s="50"/>
      <c r="GJ52" s="50"/>
      <c r="GK52" s="50"/>
      <c r="GL52" s="50"/>
      <c r="GM52" s="50"/>
      <c r="GN52" s="50"/>
      <c r="GO52" s="50"/>
      <c r="GP52" s="50"/>
      <c r="GQ52" s="50"/>
      <c r="GR52" s="50"/>
      <c r="GS52" s="50"/>
      <c r="GT52" s="50"/>
      <c r="GU52" s="50"/>
      <c r="GV52" s="50"/>
      <c r="GW52" s="50"/>
      <c r="GX52" s="50"/>
      <c r="GY52" s="50"/>
      <c r="GZ52" s="50"/>
      <c r="HA52" s="50"/>
      <c r="HB52" s="50"/>
      <c r="HC52" s="50"/>
      <c r="HD52" s="50"/>
      <c r="HE52" s="50"/>
      <c r="HF52" s="50"/>
      <c r="HG52" s="50"/>
      <c r="HH52" s="50"/>
      <c r="HI52" s="50"/>
      <c r="HJ52" s="50"/>
      <c r="HK52" s="50"/>
      <c r="HL52" s="50"/>
      <c r="HM52" s="50"/>
      <c r="HN52" s="50"/>
      <c r="HO52" s="50"/>
      <c r="HP52" s="50"/>
      <c r="HQ52" s="50"/>
      <c r="HR52" s="50"/>
      <c r="HS52" s="50"/>
      <c r="HT52" s="50"/>
      <c r="HU52" s="50"/>
      <c r="HV52" s="50"/>
      <c r="HW52" s="50"/>
      <c r="HX52" s="50"/>
      <c r="HY52" s="50"/>
      <c r="HZ52" s="50"/>
      <c r="IA52" s="50"/>
      <c r="IB52" s="50"/>
      <c r="IC52" s="50"/>
      <c r="ID52" s="50"/>
      <c r="IE52" s="50"/>
      <c r="IF52" s="50"/>
      <c r="IG52" s="50"/>
      <c r="IH52" s="50"/>
      <c r="II52" s="50"/>
      <c r="IJ52" s="50"/>
      <c r="IK52" s="50"/>
      <c r="IL52" s="50"/>
      <c r="IM52" s="50"/>
      <c r="IN52" s="50"/>
      <c r="IO52" s="50"/>
      <c r="IP52" s="50"/>
      <c r="IQ52" s="50"/>
      <c r="IR52" s="50"/>
      <c r="IS52" s="50"/>
      <c r="IT52" s="50"/>
      <c r="IU52" s="50"/>
      <c r="IV52" s="50"/>
    </row>
    <row r="53" spans="1:256" ht="24.75" customHeight="1" x14ac:dyDescent="0.35">
      <c r="A53" s="1403">
        <v>44</v>
      </c>
      <c r="B53" s="50"/>
      <c r="C53" s="1407" t="s">
        <v>839</v>
      </c>
      <c r="D53" s="1550" t="s">
        <v>838</v>
      </c>
      <c r="E53" s="1555"/>
      <c r="F53" s="1410"/>
      <c r="G53" s="1410"/>
      <c r="H53" s="1410"/>
      <c r="I53" s="50"/>
      <c r="J53" s="50"/>
      <c r="K53" s="50"/>
      <c r="L53" s="50"/>
      <c r="M53" s="50"/>
      <c r="N53" s="50"/>
      <c r="O53" s="50"/>
      <c r="P53" s="50"/>
      <c r="Q53" s="50"/>
      <c r="R53" s="50"/>
      <c r="S53" s="50"/>
      <c r="T53" s="50"/>
      <c r="U53" s="50"/>
      <c r="V53" s="50"/>
      <c r="W53" s="50"/>
      <c r="X53" s="50"/>
      <c r="Y53" s="50"/>
      <c r="Z53" s="50"/>
      <c r="AA53" s="50"/>
      <c r="AB53" s="50"/>
      <c r="AC53" s="50"/>
      <c r="AD53" s="50"/>
      <c r="AE53" s="50"/>
      <c r="AF53" s="50"/>
      <c r="AG53" s="50"/>
      <c r="AH53" s="50"/>
      <c r="AI53" s="50"/>
      <c r="AJ53" s="50"/>
      <c r="AK53" s="50"/>
      <c r="AL53" s="50"/>
      <c r="AM53" s="50"/>
      <c r="AN53" s="50"/>
      <c r="AO53" s="50"/>
      <c r="AP53" s="50"/>
      <c r="AQ53" s="50"/>
      <c r="AR53" s="50"/>
      <c r="AS53" s="50"/>
      <c r="AT53" s="50"/>
      <c r="AU53" s="50"/>
      <c r="AV53" s="50"/>
      <c r="AW53" s="50"/>
      <c r="AX53" s="50"/>
      <c r="AY53" s="50"/>
      <c r="AZ53" s="50"/>
      <c r="BA53" s="50"/>
      <c r="BB53" s="50"/>
      <c r="BC53" s="50"/>
      <c r="BD53" s="50"/>
      <c r="BE53" s="50"/>
      <c r="BF53" s="50"/>
      <c r="BG53" s="50"/>
      <c r="BH53" s="50"/>
      <c r="BI53" s="50"/>
      <c r="BJ53" s="50"/>
      <c r="BK53" s="50"/>
      <c r="BL53" s="50"/>
      <c r="BM53" s="50"/>
      <c r="BN53" s="50"/>
      <c r="BO53" s="50"/>
      <c r="BP53" s="50"/>
      <c r="BQ53" s="50"/>
      <c r="BR53" s="50"/>
      <c r="BS53" s="50"/>
      <c r="BT53" s="50"/>
      <c r="BU53" s="50"/>
      <c r="BV53" s="50"/>
      <c r="BW53" s="50"/>
      <c r="BX53" s="50"/>
      <c r="BY53" s="50"/>
      <c r="BZ53" s="50"/>
      <c r="CA53" s="50"/>
      <c r="CB53" s="50"/>
      <c r="CC53" s="50"/>
      <c r="CD53" s="50"/>
      <c r="CE53" s="50"/>
      <c r="CF53" s="50"/>
      <c r="CG53" s="50"/>
      <c r="CH53" s="50"/>
      <c r="CI53" s="50"/>
      <c r="CJ53" s="50"/>
      <c r="CK53" s="50"/>
      <c r="CL53" s="50"/>
      <c r="CM53" s="50"/>
      <c r="CN53" s="50"/>
      <c r="CO53" s="50"/>
      <c r="CP53" s="50"/>
      <c r="CQ53" s="50"/>
      <c r="CR53" s="50"/>
      <c r="CS53" s="50"/>
      <c r="CT53" s="50"/>
      <c r="CU53" s="50"/>
      <c r="CV53" s="50"/>
      <c r="CW53" s="50"/>
      <c r="CX53" s="50"/>
      <c r="CY53" s="50"/>
      <c r="CZ53" s="50"/>
      <c r="DA53" s="50"/>
      <c r="DB53" s="50"/>
      <c r="DC53" s="50"/>
      <c r="DD53" s="50"/>
      <c r="DE53" s="50"/>
      <c r="DF53" s="50"/>
      <c r="DG53" s="50"/>
      <c r="DH53" s="50"/>
      <c r="DI53" s="50"/>
      <c r="DJ53" s="50"/>
      <c r="DK53" s="50"/>
      <c r="DL53" s="50"/>
      <c r="DM53" s="50"/>
      <c r="DN53" s="50"/>
      <c r="DO53" s="50"/>
      <c r="DP53" s="50"/>
      <c r="DQ53" s="50"/>
      <c r="DR53" s="50"/>
      <c r="DS53" s="50"/>
      <c r="DT53" s="50"/>
      <c r="DU53" s="50"/>
      <c r="DV53" s="50"/>
      <c r="DW53" s="50"/>
      <c r="DX53" s="50"/>
      <c r="DY53" s="50"/>
      <c r="DZ53" s="50"/>
      <c r="EA53" s="50"/>
      <c r="EB53" s="50"/>
      <c r="EC53" s="50"/>
      <c r="ED53" s="50"/>
      <c r="EE53" s="50"/>
      <c r="EF53" s="50"/>
      <c r="EG53" s="50"/>
      <c r="EH53" s="50"/>
      <c r="EI53" s="50"/>
      <c r="EJ53" s="50"/>
      <c r="EK53" s="50"/>
      <c r="EL53" s="50"/>
      <c r="EM53" s="50"/>
      <c r="EN53" s="50"/>
      <c r="EO53" s="50"/>
      <c r="EP53" s="50"/>
      <c r="EQ53" s="50"/>
      <c r="ER53" s="50"/>
      <c r="ES53" s="50"/>
      <c r="ET53" s="50"/>
      <c r="EU53" s="50"/>
      <c r="EV53" s="50"/>
      <c r="EW53" s="50"/>
      <c r="EX53" s="50"/>
      <c r="EY53" s="50"/>
      <c r="EZ53" s="50"/>
      <c r="FA53" s="50"/>
      <c r="FB53" s="50"/>
      <c r="FC53" s="50"/>
      <c r="FD53" s="50"/>
      <c r="FE53" s="50"/>
      <c r="FF53" s="50"/>
      <c r="FG53" s="50"/>
      <c r="FH53" s="50"/>
      <c r="FI53" s="50"/>
      <c r="FJ53" s="50"/>
      <c r="FK53" s="50"/>
      <c r="FL53" s="50"/>
      <c r="FM53" s="50"/>
      <c r="FN53" s="50"/>
      <c r="FO53" s="50"/>
      <c r="FP53" s="50"/>
      <c r="FQ53" s="50"/>
      <c r="FR53" s="50"/>
      <c r="FS53" s="50"/>
      <c r="FT53" s="50"/>
      <c r="FU53" s="50"/>
      <c r="FV53" s="50"/>
      <c r="FW53" s="50"/>
      <c r="FX53" s="50"/>
      <c r="FY53" s="50"/>
      <c r="FZ53" s="50"/>
      <c r="GA53" s="50"/>
      <c r="GB53" s="50"/>
      <c r="GC53" s="50"/>
      <c r="GD53" s="50"/>
      <c r="GE53" s="50"/>
      <c r="GF53" s="50"/>
      <c r="GG53" s="50"/>
      <c r="GH53" s="50"/>
      <c r="GI53" s="50"/>
      <c r="GJ53" s="50"/>
      <c r="GK53" s="50"/>
      <c r="GL53" s="50"/>
      <c r="GM53" s="50"/>
      <c r="GN53" s="50"/>
      <c r="GO53" s="50"/>
      <c r="GP53" s="50"/>
      <c r="GQ53" s="50"/>
      <c r="GR53" s="50"/>
      <c r="GS53" s="50"/>
      <c r="GT53" s="50"/>
      <c r="GU53" s="50"/>
      <c r="GV53" s="50"/>
      <c r="GW53" s="50"/>
      <c r="GX53" s="50"/>
      <c r="GY53" s="50"/>
      <c r="GZ53" s="50"/>
      <c r="HA53" s="50"/>
      <c r="HB53" s="50"/>
      <c r="HC53" s="50"/>
      <c r="HD53" s="50"/>
      <c r="HE53" s="50"/>
      <c r="HF53" s="50"/>
      <c r="HG53" s="50"/>
      <c r="HH53" s="50"/>
      <c r="HI53" s="50"/>
      <c r="HJ53" s="50"/>
      <c r="HK53" s="50"/>
      <c r="HL53" s="50"/>
      <c r="HM53" s="50"/>
      <c r="HN53" s="50"/>
      <c r="HO53" s="50"/>
      <c r="HP53" s="50"/>
      <c r="HQ53" s="50"/>
      <c r="HR53" s="50"/>
      <c r="HS53" s="50"/>
      <c r="HT53" s="50"/>
      <c r="HU53" s="50"/>
      <c r="HV53" s="50"/>
      <c r="HW53" s="50"/>
      <c r="HX53" s="50"/>
      <c r="HY53" s="50"/>
      <c r="HZ53" s="50"/>
      <c r="IA53" s="50"/>
      <c r="IB53" s="50"/>
      <c r="IC53" s="50"/>
      <c r="ID53" s="50"/>
      <c r="IE53" s="50"/>
      <c r="IF53" s="50"/>
      <c r="IG53" s="50"/>
      <c r="IH53" s="50"/>
      <c r="II53" s="50"/>
      <c r="IJ53" s="50"/>
      <c r="IK53" s="50"/>
      <c r="IL53" s="50"/>
      <c r="IM53" s="50"/>
      <c r="IN53" s="50"/>
      <c r="IO53" s="50"/>
      <c r="IP53" s="50"/>
      <c r="IQ53" s="50"/>
      <c r="IR53" s="50"/>
      <c r="IS53" s="50"/>
      <c r="IT53" s="50"/>
      <c r="IU53" s="50"/>
      <c r="IV53" s="50"/>
    </row>
    <row r="54" spans="1:256" ht="33.75" x14ac:dyDescent="0.35">
      <c r="A54" s="1403">
        <v>45</v>
      </c>
      <c r="B54" s="50"/>
      <c r="C54" s="19"/>
      <c r="D54" s="1684" t="s">
        <v>1018</v>
      </c>
      <c r="E54" s="1557">
        <v>154283</v>
      </c>
      <c r="F54" s="1410"/>
      <c r="G54" s="1410"/>
      <c r="H54" s="1410"/>
      <c r="I54" s="50"/>
      <c r="J54" s="50"/>
      <c r="K54" s="50"/>
      <c r="L54" s="50"/>
      <c r="M54" s="50"/>
      <c r="N54" s="50"/>
      <c r="O54" s="50"/>
      <c r="P54" s="50"/>
      <c r="Q54" s="50"/>
      <c r="R54" s="50"/>
      <c r="S54" s="50"/>
      <c r="T54" s="50"/>
      <c r="U54" s="50"/>
      <c r="V54" s="50"/>
      <c r="W54" s="50"/>
      <c r="X54" s="50"/>
      <c r="Y54" s="50"/>
      <c r="Z54" s="50"/>
      <c r="AA54" s="50"/>
      <c r="AB54" s="50"/>
      <c r="AC54" s="50"/>
      <c r="AD54" s="50"/>
      <c r="AE54" s="50"/>
      <c r="AF54" s="50"/>
      <c r="AG54" s="50"/>
      <c r="AH54" s="50"/>
      <c r="AI54" s="50"/>
      <c r="AJ54" s="50"/>
      <c r="AK54" s="50"/>
      <c r="AL54" s="50"/>
      <c r="AM54" s="50"/>
      <c r="AN54" s="50"/>
      <c r="AO54" s="50"/>
      <c r="AP54" s="50"/>
      <c r="AQ54" s="50"/>
      <c r="AR54" s="50"/>
      <c r="AS54" s="50"/>
      <c r="AT54" s="50"/>
      <c r="AU54" s="50"/>
      <c r="AV54" s="50"/>
      <c r="AW54" s="50"/>
      <c r="AX54" s="50"/>
      <c r="AY54" s="50"/>
      <c r="AZ54" s="50"/>
      <c r="BA54" s="50"/>
      <c r="BB54" s="50"/>
      <c r="BC54" s="50"/>
      <c r="BD54" s="50"/>
      <c r="BE54" s="50"/>
      <c r="BF54" s="50"/>
      <c r="BG54" s="50"/>
      <c r="BH54" s="50"/>
      <c r="BI54" s="50"/>
      <c r="BJ54" s="50"/>
      <c r="BK54" s="50"/>
      <c r="BL54" s="50"/>
      <c r="BM54" s="50"/>
      <c r="BN54" s="50"/>
      <c r="BO54" s="50"/>
      <c r="BP54" s="50"/>
      <c r="BQ54" s="50"/>
      <c r="BR54" s="50"/>
      <c r="BS54" s="50"/>
      <c r="BT54" s="50"/>
      <c r="BU54" s="50"/>
      <c r="BV54" s="50"/>
      <c r="BW54" s="50"/>
      <c r="BX54" s="50"/>
      <c r="BY54" s="50"/>
      <c r="BZ54" s="50"/>
      <c r="CA54" s="50"/>
      <c r="CB54" s="50"/>
      <c r="CC54" s="50"/>
      <c r="CD54" s="50"/>
      <c r="CE54" s="50"/>
      <c r="CF54" s="50"/>
      <c r="CG54" s="50"/>
      <c r="CH54" s="50"/>
      <c r="CI54" s="50"/>
      <c r="CJ54" s="50"/>
      <c r="CK54" s="50"/>
      <c r="CL54" s="50"/>
      <c r="CM54" s="50"/>
      <c r="CN54" s="50"/>
      <c r="CO54" s="50"/>
      <c r="CP54" s="50"/>
      <c r="CQ54" s="50"/>
      <c r="CR54" s="50"/>
      <c r="CS54" s="50"/>
      <c r="CT54" s="50"/>
      <c r="CU54" s="50"/>
      <c r="CV54" s="50"/>
      <c r="CW54" s="50"/>
      <c r="CX54" s="50"/>
      <c r="CY54" s="50"/>
      <c r="CZ54" s="50"/>
      <c r="DA54" s="50"/>
      <c r="DB54" s="50"/>
      <c r="DC54" s="50"/>
      <c r="DD54" s="50"/>
      <c r="DE54" s="50"/>
      <c r="DF54" s="50"/>
      <c r="DG54" s="50"/>
      <c r="DH54" s="50"/>
      <c r="DI54" s="50"/>
      <c r="DJ54" s="50"/>
      <c r="DK54" s="50"/>
      <c r="DL54" s="50"/>
      <c r="DM54" s="50"/>
      <c r="DN54" s="50"/>
      <c r="DO54" s="50"/>
      <c r="DP54" s="50"/>
      <c r="DQ54" s="50"/>
      <c r="DR54" s="50"/>
      <c r="DS54" s="50"/>
      <c r="DT54" s="50"/>
      <c r="DU54" s="50"/>
      <c r="DV54" s="50"/>
      <c r="DW54" s="50"/>
      <c r="DX54" s="50"/>
      <c r="DY54" s="50"/>
      <c r="DZ54" s="50"/>
      <c r="EA54" s="50"/>
      <c r="EB54" s="50"/>
      <c r="EC54" s="50"/>
      <c r="ED54" s="50"/>
      <c r="EE54" s="50"/>
      <c r="EF54" s="50"/>
      <c r="EG54" s="50"/>
      <c r="EH54" s="50"/>
      <c r="EI54" s="50"/>
      <c r="EJ54" s="50"/>
      <c r="EK54" s="50"/>
      <c r="EL54" s="50"/>
      <c r="EM54" s="50"/>
      <c r="EN54" s="50"/>
      <c r="EO54" s="50"/>
      <c r="EP54" s="50"/>
      <c r="EQ54" s="50"/>
      <c r="ER54" s="50"/>
      <c r="ES54" s="50"/>
      <c r="ET54" s="50"/>
      <c r="EU54" s="50"/>
      <c r="EV54" s="50"/>
      <c r="EW54" s="50"/>
      <c r="EX54" s="50"/>
      <c r="EY54" s="50"/>
      <c r="EZ54" s="50"/>
      <c r="FA54" s="50"/>
      <c r="FB54" s="50"/>
      <c r="FC54" s="50"/>
      <c r="FD54" s="50"/>
      <c r="FE54" s="50"/>
      <c r="FF54" s="50"/>
      <c r="FG54" s="50"/>
      <c r="FH54" s="50"/>
      <c r="FI54" s="50"/>
      <c r="FJ54" s="50"/>
      <c r="FK54" s="50"/>
      <c r="FL54" s="50"/>
      <c r="FM54" s="50"/>
      <c r="FN54" s="50"/>
      <c r="FO54" s="50"/>
      <c r="FP54" s="50"/>
      <c r="FQ54" s="50"/>
      <c r="FR54" s="50"/>
      <c r="FS54" s="50"/>
      <c r="FT54" s="50"/>
      <c r="FU54" s="50"/>
      <c r="FV54" s="50"/>
      <c r="FW54" s="50"/>
      <c r="FX54" s="50"/>
      <c r="FY54" s="50"/>
      <c r="FZ54" s="50"/>
      <c r="GA54" s="50"/>
      <c r="GB54" s="50"/>
      <c r="GC54" s="50"/>
      <c r="GD54" s="50"/>
      <c r="GE54" s="50"/>
      <c r="GF54" s="50"/>
      <c r="GG54" s="50"/>
      <c r="GH54" s="50"/>
      <c r="GI54" s="50"/>
      <c r="GJ54" s="50"/>
      <c r="GK54" s="50"/>
      <c r="GL54" s="50"/>
      <c r="GM54" s="50"/>
      <c r="GN54" s="50"/>
      <c r="GO54" s="50"/>
      <c r="GP54" s="50"/>
      <c r="GQ54" s="50"/>
      <c r="GR54" s="50"/>
      <c r="GS54" s="50"/>
      <c r="GT54" s="50"/>
      <c r="GU54" s="50"/>
      <c r="GV54" s="50"/>
      <c r="GW54" s="50"/>
      <c r="GX54" s="50"/>
      <c r="GY54" s="50"/>
      <c r="GZ54" s="50"/>
      <c r="HA54" s="50"/>
      <c r="HB54" s="50"/>
      <c r="HC54" s="50"/>
      <c r="HD54" s="50"/>
      <c r="HE54" s="50"/>
      <c r="HF54" s="50"/>
      <c r="HG54" s="50"/>
      <c r="HH54" s="50"/>
      <c r="HI54" s="50"/>
      <c r="HJ54" s="50"/>
      <c r="HK54" s="50"/>
      <c r="HL54" s="50"/>
      <c r="HM54" s="50"/>
      <c r="HN54" s="50"/>
      <c r="HO54" s="50"/>
      <c r="HP54" s="50"/>
      <c r="HQ54" s="50"/>
      <c r="HR54" s="50"/>
      <c r="HS54" s="50"/>
      <c r="HT54" s="50"/>
      <c r="HU54" s="50"/>
      <c r="HV54" s="50"/>
      <c r="HW54" s="50"/>
      <c r="HX54" s="50"/>
      <c r="HY54" s="50"/>
      <c r="HZ54" s="50"/>
      <c r="IA54" s="50"/>
      <c r="IB54" s="50"/>
      <c r="IC54" s="50"/>
      <c r="ID54" s="50"/>
      <c r="IE54" s="50"/>
      <c r="IF54" s="50"/>
      <c r="IG54" s="50"/>
      <c r="IH54" s="50"/>
      <c r="II54" s="50"/>
      <c r="IJ54" s="50"/>
      <c r="IK54" s="50"/>
      <c r="IL54" s="50"/>
      <c r="IM54" s="50"/>
      <c r="IN54" s="50"/>
      <c r="IO54" s="50"/>
      <c r="IP54" s="50"/>
      <c r="IQ54" s="50"/>
      <c r="IR54" s="50"/>
      <c r="IS54" s="50"/>
      <c r="IT54" s="50"/>
      <c r="IU54" s="50"/>
      <c r="IV54" s="50"/>
    </row>
    <row r="55" spans="1:256" ht="17.25" x14ac:dyDescent="0.35">
      <c r="A55" s="1403">
        <v>46</v>
      </c>
      <c r="B55" s="50"/>
      <c r="C55" s="19"/>
      <c r="D55" s="1409" t="s">
        <v>1019</v>
      </c>
      <c r="E55" s="1557">
        <v>84720</v>
      </c>
      <c r="F55" s="1410"/>
      <c r="G55" s="1410"/>
      <c r="H55" s="1410"/>
      <c r="I55" s="50"/>
      <c r="J55" s="50"/>
      <c r="K55" s="50"/>
      <c r="L55" s="50"/>
      <c r="M55" s="50"/>
      <c r="N55" s="50"/>
      <c r="O55" s="50"/>
      <c r="P55" s="50"/>
      <c r="Q55" s="50"/>
      <c r="R55" s="50"/>
      <c r="S55" s="50"/>
      <c r="T55" s="50"/>
      <c r="U55" s="50"/>
      <c r="V55" s="50"/>
      <c r="W55" s="50"/>
      <c r="X55" s="50"/>
      <c r="Y55" s="50"/>
      <c r="Z55" s="50"/>
      <c r="AA55" s="50"/>
      <c r="AB55" s="50"/>
      <c r="AC55" s="50"/>
      <c r="AD55" s="50"/>
      <c r="AE55" s="50"/>
      <c r="AF55" s="50"/>
      <c r="AG55" s="50"/>
      <c r="AH55" s="50"/>
      <c r="AI55" s="50"/>
      <c r="AJ55" s="50"/>
      <c r="AK55" s="50"/>
      <c r="AL55" s="50"/>
      <c r="AM55" s="50"/>
      <c r="AN55" s="50"/>
      <c r="AO55" s="50"/>
      <c r="AP55" s="50"/>
      <c r="AQ55" s="50"/>
      <c r="AR55" s="50"/>
      <c r="AS55" s="50"/>
      <c r="AT55" s="50"/>
      <c r="AU55" s="50"/>
      <c r="AV55" s="50"/>
      <c r="AW55" s="50"/>
      <c r="AX55" s="50"/>
      <c r="AY55" s="50"/>
      <c r="AZ55" s="50"/>
      <c r="BA55" s="50"/>
      <c r="BB55" s="50"/>
      <c r="BC55" s="50"/>
      <c r="BD55" s="50"/>
      <c r="BE55" s="50"/>
      <c r="BF55" s="50"/>
      <c r="BG55" s="50"/>
      <c r="BH55" s="50"/>
      <c r="BI55" s="50"/>
      <c r="BJ55" s="50"/>
      <c r="BK55" s="50"/>
      <c r="BL55" s="50"/>
      <c r="BM55" s="50"/>
      <c r="BN55" s="50"/>
      <c r="BO55" s="50"/>
      <c r="BP55" s="50"/>
      <c r="BQ55" s="50"/>
      <c r="BR55" s="50"/>
      <c r="BS55" s="50"/>
      <c r="BT55" s="50"/>
      <c r="BU55" s="50"/>
      <c r="BV55" s="50"/>
      <c r="BW55" s="50"/>
      <c r="BX55" s="50"/>
      <c r="BY55" s="50"/>
      <c r="BZ55" s="50"/>
      <c r="CA55" s="50"/>
      <c r="CB55" s="50"/>
      <c r="CC55" s="50"/>
      <c r="CD55" s="50"/>
      <c r="CE55" s="50"/>
      <c r="CF55" s="50"/>
      <c r="CG55" s="50"/>
      <c r="CH55" s="50"/>
      <c r="CI55" s="50"/>
      <c r="CJ55" s="50"/>
      <c r="CK55" s="50"/>
      <c r="CL55" s="50"/>
      <c r="CM55" s="50"/>
      <c r="CN55" s="50"/>
      <c r="CO55" s="50"/>
      <c r="CP55" s="50"/>
      <c r="CQ55" s="50"/>
      <c r="CR55" s="50"/>
      <c r="CS55" s="50"/>
      <c r="CT55" s="50"/>
      <c r="CU55" s="50"/>
      <c r="CV55" s="50"/>
      <c r="CW55" s="50"/>
      <c r="CX55" s="50"/>
      <c r="CY55" s="50"/>
      <c r="CZ55" s="50"/>
      <c r="DA55" s="50"/>
      <c r="DB55" s="50"/>
      <c r="DC55" s="50"/>
      <c r="DD55" s="50"/>
      <c r="DE55" s="50"/>
      <c r="DF55" s="50"/>
      <c r="DG55" s="50"/>
      <c r="DH55" s="50"/>
      <c r="DI55" s="50"/>
      <c r="DJ55" s="50"/>
      <c r="DK55" s="50"/>
      <c r="DL55" s="50"/>
      <c r="DM55" s="50"/>
      <c r="DN55" s="50"/>
      <c r="DO55" s="50"/>
      <c r="DP55" s="50"/>
      <c r="DQ55" s="50"/>
      <c r="DR55" s="50"/>
      <c r="DS55" s="50"/>
      <c r="DT55" s="50"/>
      <c r="DU55" s="50"/>
      <c r="DV55" s="50"/>
      <c r="DW55" s="50"/>
      <c r="DX55" s="50"/>
      <c r="DY55" s="50"/>
      <c r="DZ55" s="50"/>
      <c r="EA55" s="50"/>
      <c r="EB55" s="50"/>
      <c r="EC55" s="50"/>
      <c r="ED55" s="50"/>
      <c r="EE55" s="50"/>
      <c r="EF55" s="50"/>
      <c r="EG55" s="50"/>
      <c r="EH55" s="50"/>
      <c r="EI55" s="50"/>
      <c r="EJ55" s="50"/>
      <c r="EK55" s="50"/>
      <c r="EL55" s="50"/>
      <c r="EM55" s="50"/>
      <c r="EN55" s="50"/>
      <c r="EO55" s="50"/>
      <c r="EP55" s="50"/>
      <c r="EQ55" s="50"/>
      <c r="ER55" s="50"/>
      <c r="ES55" s="50"/>
      <c r="ET55" s="50"/>
      <c r="EU55" s="50"/>
      <c r="EV55" s="50"/>
      <c r="EW55" s="50"/>
      <c r="EX55" s="50"/>
      <c r="EY55" s="50"/>
      <c r="EZ55" s="50"/>
      <c r="FA55" s="50"/>
      <c r="FB55" s="50"/>
      <c r="FC55" s="50"/>
      <c r="FD55" s="50"/>
      <c r="FE55" s="50"/>
      <c r="FF55" s="50"/>
      <c r="FG55" s="50"/>
      <c r="FH55" s="50"/>
      <c r="FI55" s="50"/>
      <c r="FJ55" s="50"/>
      <c r="FK55" s="50"/>
      <c r="FL55" s="50"/>
      <c r="FM55" s="50"/>
      <c r="FN55" s="50"/>
      <c r="FO55" s="50"/>
      <c r="FP55" s="50"/>
      <c r="FQ55" s="50"/>
      <c r="FR55" s="50"/>
      <c r="FS55" s="50"/>
      <c r="FT55" s="50"/>
      <c r="FU55" s="50"/>
      <c r="FV55" s="50"/>
      <c r="FW55" s="50"/>
      <c r="FX55" s="50"/>
      <c r="FY55" s="50"/>
      <c r="FZ55" s="50"/>
      <c r="GA55" s="50"/>
      <c r="GB55" s="50"/>
      <c r="GC55" s="50"/>
      <c r="GD55" s="50"/>
      <c r="GE55" s="50"/>
      <c r="GF55" s="50"/>
      <c r="GG55" s="50"/>
      <c r="GH55" s="50"/>
      <c r="GI55" s="50"/>
      <c r="GJ55" s="50"/>
      <c r="GK55" s="50"/>
      <c r="GL55" s="50"/>
      <c r="GM55" s="50"/>
      <c r="GN55" s="50"/>
      <c r="GO55" s="50"/>
      <c r="GP55" s="50"/>
      <c r="GQ55" s="50"/>
      <c r="GR55" s="50"/>
      <c r="GS55" s="50"/>
      <c r="GT55" s="50"/>
      <c r="GU55" s="50"/>
      <c r="GV55" s="50"/>
      <c r="GW55" s="50"/>
      <c r="GX55" s="50"/>
      <c r="GY55" s="50"/>
      <c r="GZ55" s="50"/>
      <c r="HA55" s="50"/>
      <c r="HB55" s="50"/>
      <c r="HC55" s="50"/>
      <c r="HD55" s="50"/>
      <c r="HE55" s="50"/>
      <c r="HF55" s="50"/>
      <c r="HG55" s="50"/>
      <c r="HH55" s="50"/>
      <c r="HI55" s="50"/>
      <c r="HJ55" s="50"/>
      <c r="HK55" s="50"/>
      <c r="HL55" s="50"/>
      <c r="HM55" s="50"/>
      <c r="HN55" s="50"/>
      <c r="HO55" s="50"/>
      <c r="HP55" s="50"/>
      <c r="HQ55" s="50"/>
      <c r="HR55" s="50"/>
      <c r="HS55" s="50"/>
      <c r="HT55" s="50"/>
      <c r="HU55" s="50"/>
      <c r="HV55" s="50"/>
      <c r="HW55" s="50"/>
      <c r="HX55" s="50"/>
      <c r="HY55" s="50"/>
      <c r="HZ55" s="50"/>
      <c r="IA55" s="50"/>
      <c r="IB55" s="50"/>
      <c r="IC55" s="50"/>
      <c r="ID55" s="50"/>
      <c r="IE55" s="50"/>
      <c r="IF55" s="50"/>
      <c r="IG55" s="50"/>
      <c r="IH55" s="50"/>
      <c r="II55" s="50"/>
      <c r="IJ55" s="50"/>
      <c r="IK55" s="50"/>
      <c r="IL55" s="50"/>
      <c r="IM55" s="50"/>
      <c r="IN55" s="50"/>
      <c r="IO55" s="50"/>
      <c r="IP55" s="50"/>
      <c r="IQ55" s="50"/>
      <c r="IR55" s="50"/>
      <c r="IS55" s="50"/>
      <c r="IT55" s="50"/>
      <c r="IU55" s="50"/>
      <c r="IV55" s="50"/>
    </row>
    <row r="56" spans="1:256" ht="37.5" customHeight="1" x14ac:dyDescent="0.35">
      <c r="A56" s="1403">
        <v>47</v>
      </c>
      <c r="B56" s="50"/>
      <c r="C56" s="19"/>
      <c r="D56" s="1684" t="s">
        <v>1020</v>
      </c>
      <c r="E56" s="1557">
        <v>687512</v>
      </c>
      <c r="F56" s="1410"/>
      <c r="G56" s="1410"/>
      <c r="H56" s="1410"/>
      <c r="I56" s="50"/>
      <c r="J56" s="50"/>
      <c r="K56" s="50"/>
      <c r="L56" s="50"/>
      <c r="M56" s="50"/>
      <c r="N56" s="50"/>
      <c r="O56" s="50"/>
      <c r="P56" s="50"/>
      <c r="Q56" s="50"/>
      <c r="R56" s="50"/>
      <c r="S56" s="50"/>
      <c r="T56" s="50"/>
      <c r="U56" s="50"/>
      <c r="V56" s="50"/>
      <c r="W56" s="50"/>
      <c r="X56" s="50"/>
      <c r="Y56" s="50"/>
      <c r="Z56" s="50"/>
      <c r="AA56" s="50"/>
      <c r="AB56" s="50"/>
      <c r="AC56" s="50"/>
      <c r="AD56" s="50"/>
      <c r="AE56" s="50"/>
      <c r="AF56" s="50"/>
      <c r="AG56" s="50"/>
      <c r="AH56" s="50"/>
      <c r="AI56" s="50"/>
      <c r="AJ56" s="50"/>
      <c r="AK56" s="50"/>
      <c r="AL56" s="50"/>
      <c r="AM56" s="50"/>
      <c r="AN56" s="50"/>
      <c r="AO56" s="50"/>
      <c r="AP56" s="50"/>
      <c r="AQ56" s="50"/>
      <c r="AR56" s="50"/>
      <c r="AS56" s="50"/>
      <c r="AT56" s="50"/>
      <c r="AU56" s="50"/>
      <c r="AV56" s="50"/>
      <c r="AW56" s="50"/>
      <c r="AX56" s="50"/>
      <c r="AY56" s="50"/>
      <c r="AZ56" s="50"/>
      <c r="BA56" s="50"/>
      <c r="BB56" s="50"/>
      <c r="BC56" s="50"/>
      <c r="BD56" s="50"/>
      <c r="BE56" s="50"/>
      <c r="BF56" s="50"/>
      <c r="BG56" s="50"/>
      <c r="BH56" s="50"/>
      <c r="BI56" s="50"/>
      <c r="BJ56" s="50"/>
      <c r="BK56" s="50"/>
      <c r="BL56" s="50"/>
      <c r="BM56" s="50"/>
      <c r="BN56" s="50"/>
      <c r="BO56" s="50"/>
      <c r="BP56" s="50"/>
      <c r="BQ56" s="50"/>
      <c r="BR56" s="50"/>
      <c r="BS56" s="50"/>
      <c r="BT56" s="50"/>
      <c r="BU56" s="50"/>
      <c r="BV56" s="50"/>
      <c r="BW56" s="50"/>
      <c r="BX56" s="50"/>
      <c r="BY56" s="50"/>
      <c r="BZ56" s="50"/>
      <c r="CA56" s="50"/>
      <c r="CB56" s="50"/>
      <c r="CC56" s="50"/>
      <c r="CD56" s="50"/>
      <c r="CE56" s="50"/>
      <c r="CF56" s="50"/>
      <c r="CG56" s="50"/>
      <c r="CH56" s="50"/>
      <c r="CI56" s="50"/>
      <c r="CJ56" s="50"/>
      <c r="CK56" s="50"/>
      <c r="CL56" s="50"/>
      <c r="CM56" s="50"/>
      <c r="CN56" s="50"/>
      <c r="CO56" s="50"/>
      <c r="CP56" s="50"/>
      <c r="CQ56" s="50"/>
      <c r="CR56" s="50"/>
      <c r="CS56" s="50"/>
      <c r="CT56" s="50"/>
      <c r="CU56" s="50"/>
      <c r="CV56" s="50"/>
      <c r="CW56" s="50"/>
      <c r="CX56" s="50"/>
      <c r="CY56" s="50"/>
      <c r="CZ56" s="50"/>
      <c r="DA56" s="50"/>
      <c r="DB56" s="50"/>
      <c r="DC56" s="50"/>
      <c r="DD56" s="50"/>
      <c r="DE56" s="50"/>
      <c r="DF56" s="50"/>
      <c r="DG56" s="50"/>
      <c r="DH56" s="50"/>
      <c r="DI56" s="50"/>
      <c r="DJ56" s="50"/>
      <c r="DK56" s="50"/>
      <c r="DL56" s="50"/>
      <c r="DM56" s="50"/>
      <c r="DN56" s="50"/>
      <c r="DO56" s="50"/>
      <c r="DP56" s="50"/>
      <c r="DQ56" s="50"/>
      <c r="DR56" s="50"/>
      <c r="DS56" s="50"/>
      <c r="DT56" s="50"/>
      <c r="DU56" s="50"/>
      <c r="DV56" s="50"/>
      <c r="DW56" s="50"/>
      <c r="DX56" s="50"/>
      <c r="DY56" s="50"/>
      <c r="DZ56" s="50"/>
      <c r="EA56" s="50"/>
      <c r="EB56" s="50"/>
      <c r="EC56" s="50"/>
      <c r="ED56" s="50"/>
      <c r="EE56" s="50"/>
      <c r="EF56" s="50"/>
      <c r="EG56" s="50"/>
      <c r="EH56" s="50"/>
      <c r="EI56" s="50"/>
      <c r="EJ56" s="50"/>
      <c r="EK56" s="50"/>
      <c r="EL56" s="50"/>
      <c r="EM56" s="50"/>
      <c r="EN56" s="50"/>
      <c r="EO56" s="50"/>
      <c r="EP56" s="50"/>
      <c r="EQ56" s="50"/>
      <c r="ER56" s="50"/>
      <c r="ES56" s="50"/>
      <c r="ET56" s="50"/>
      <c r="EU56" s="50"/>
      <c r="EV56" s="50"/>
      <c r="EW56" s="50"/>
      <c r="EX56" s="50"/>
      <c r="EY56" s="50"/>
      <c r="EZ56" s="50"/>
      <c r="FA56" s="50"/>
      <c r="FB56" s="50"/>
      <c r="FC56" s="50"/>
      <c r="FD56" s="50"/>
      <c r="FE56" s="50"/>
      <c r="FF56" s="50"/>
      <c r="FG56" s="50"/>
      <c r="FH56" s="50"/>
      <c r="FI56" s="50"/>
      <c r="FJ56" s="50"/>
      <c r="FK56" s="50"/>
      <c r="FL56" s="50"/>
      <c r="FM56" s="50"/>
      <c r="FN56" s="50"/>
      <c r="FO56" s="50"/>
      <c r="FP56" s="50"/>
      <c r="FQ56" s="50"/>
      <c r="FR56" s="50"/>
      <c r="FS56" s="50"/>
      <c r="FT56" s="50"/>
      <c r="FU56" s="50"/>
      <c r="FV56" s="50"/>
      <c r="FW56" s="50"/>
      <c r="FX56" s="50"/>
      <c r="FY56" s="50"/>
      <c r="FZ56" s="50"/>
      <c r="GA56" s="50"/>
      <c r="GB56" s="50"/>
      <c r="GC56" s="50"/>
      <c r="GD56" s="50"/>
      <c r="GE56" s="50"/>
      <c r="GF56" s="50"/>
      <c r="GG56" s="50"/>
      <c r="GH56" s="50"/>
      <c r="GI56" s="50"/>
      <c r="GJ56" s="50"/>
      <c r="GK56" s="50"/>
      <c r="GL56" s="50"/>
      <c r="GM56" s="50"/>
      <c r="GN56" s="50"/>
      <c r="GO56" s="50"/>
      <c r="GP56" s="50"/>
      <c r="GQ56" s="50"/>
      <c r="GR56" s="50"/>
      <c r="GS56" s="50"/>
      <c r="GT56" s="50"/>
      <c r="GU56" s="50"/>
      <c r="GV56" s="50"/>
      <c r="GW56" s="50"/>
      <c r="GX56" s="50"/>
      <c r="GY56" s="50"/>
      <c r="GZ56" s="50"/>
      <c r="HA56" s="50"/>
      <c r="HB56" s="50"/>
      <c r="HC56" s="50"/>
      <c r="HD56" s="50"/>
      <c r="HE56" s="50"/>
      <c r="HF56" s="50"/>
      <c r="HG56" s="50"/>
      <c r="HH56" s="50"/>
      <c r="HI56" s="50"/>
      <c r="HJ56" s="50"/>
      <c r="HK56" s="50"/>
      <c r="HL56" s="50"/>
      <c r="HM56" s="50"/>
      <c r="HN56" s="50"/>
      <c r="HO56" s="50"/>
      <c r="HP56" s="50"/>
      <c r="HQ56" s="50"/>
      <c r="HR56" s="50"/>
      <c r="HS56" s="50"/>
      <c r="HT56" s="50"/>
      <c r="HU56" s="50"/>
      <c r="HV56" s="50"/>
      <c r="HW56" s="50"/>
      <c r="HX56" s="50"/>
      <c r="HY56" s="50"/>
      <c r="HZ56" s="50"/>
      <c r="IA56" s="50"/>
      <c r="IB56" s="50"/>
      <c r="IC56" s="50"/>
      <c r="ID56" s="50"/>
      <c r="IE56" s="50"/>
      <c r="IF56" s="50"/>
      <c r="IG56" s="50"/>
      <c r="IH56" s="50"/>
      <c r="II56" s="50"/>
      <c r="IJ56" s="50"/>
      <c r="IK56" s="50"/>
      <c r="IL56" s="50"/>
      <c r="IM56" s="50"/>
      <c r="IN56" s="50"/>
      <c r="IO56" s="50"/>
      <c r="IP56" s="50"/>
      <c r="IQ56" s="50"/>
      <c r="IR56" s="50"/>
      <c r="IS56" s="50"/>
      <c r="IT56" s="50"/>
      <c r="IU56" s="50"/>
      <c r="IV56" s="50"/>
    </row>
    <row r="57" spans="1:256" ht="33.75" x14ac:dyDescent="0.35">
      <c r="A57" s="1403">
        <v>48</v>
      </c>
      <c r="B57" s="50"/>
      <c r="C57" s="19"/>
      <c r="D57" s="1684" t="s">
        <v>1022</v>
      </c>
      <c r="E57" s="1557">
        <v>1415081</v>
      </c>
      <c r="F57" s="1410"/>
      <c r="G57" s="1410"/>
      <c r="H57" s="1410"/>
      <c r="I57" s="50"/>
      <c r="J57" s="50"/>
      <c r="K57" s="50"/>
      <c r="L57" s="50"/>
      <c r="M57" s="50"/>
      <c r="N57" s="50"/>
      <c r="O57" s="50"/>
      <c r="P57" s="50"/>
      <c r="Q57" s="50"/>
      <c r="R57" s="50"/>
      <c r="S57" s="50"/>
      <c r="T57" s="50"/>
      <c r="U57" s="50"/>
      <c r="V57" s="50"/>
      <c r="W57" s="50"/>
      <c r="X57" s="50"/>
      <c r="Y57" s="50"/>
      <c r="Z57" s="50"/>
      <c r="AA57" s="50"/>
      <c r="AB57" s="50"/>
      <c r="AC57" s="50"/>
      <c r="AD57" s="50"/>
      <c r="AE57" s="50"/>
      <c r="AF57" s="50"/>
      <c r="AG57" s="50"/>
      <c r="AH57" s="50"/>
      <c r="AI57" s="50"/>
      <c r="AJ57" s="50"/>
      <c r="AK57" s="50"/>
      <c r="AL57" s="50"/>
      <c r="AM57" s="50"/>
      <c r="AN57" s="50"/>
      <c r="AO57" s="50"/>
      <c r="AP57" s="50"/>
      <c r="AQ57" s="50"/>
      <c r="AR57" s="50"/>
      <c r="AS57" s="50"/>
      <c r="AT57" s="50"/>
      <c r="AU57" s="50"/>
      <c r="AV57" s="50"/>
      <c r="AW57" s="50"/>
      <c r="AX57" s="50"/>
      <c r="AY57" s="50"/>
      <c r="AZ57" s="50"/>
      <c r="BA57" s="50"/>
      <c r="BB57" s="50"/>
      <c r="BC57" s="50"/>
      <c r="BD57" s="50"/>
      <c r="BE57" s="50"/>
      <c r="BF57" s="50"/>
      <c r="BG57" s="50"/>
      <c r="BH57" s="50"/>
      <c r="BI57" s="50"/>
      <c r="BJ57" s="50"/>
      <c r="BK57" s="50"/>
      <c r="BL57" s="50"/>
      <c r="BM57" s="50"/>
      <c r="BN57" s="50"/>
      <c r="BO57" s="50"/>
      <c r="BP57" s="50"/>
      <c r="BQ57" s="50"/>
      <c r="BR57" s="50"/>
      <c r="BS57" s="50"/>
      <c r="BT57" s="50"/>
      <c r="BU57" s="50"/>
      <c r="BV57" s="50"/>
      <c r="BW57" s="50"/>
      <c r="BX57" s="50"/>
      <c r="BY57" s="50"/>
      <c r="BZ57" s="50"/>
      <c r="CA57" s="50"/>
      <c r="CB57" s="50"/>
      <c r="CC57" s="50"/>
      <c r="CD57" s="50"/>
      <c r="CE57" s="50"/>
      <c r="CF57" s="50"/>
      <c r="CG57" s="50"/>
      <c r="CH57" s="50"/>
      <c r="CI57" s="50"/>
      <c r="CJ57" s="50"/>
      <c r="CK57" s="50"/>
      <c r="CL57" s="50"/>
      <c r="CM57" s="50"/>
      <c r="CN57" s="50"/>
      <c r="CO57" s="50"/>
      <c r="CP57" s="50"/>
      <c r="CQ57" s="50"/>
      <c r="CR57" s="50"/>
      <c r="CS57" s="50"/>
      <c r="CT57" s="50"/>
      <c r="CU57" s="50"/>
      <c r="CV57" s="50"/>
      <c r="CW57" s="50"/>
      <c r="CX57" s="50"/>
      <c r="CY57" s="50"/>
      <c r="CZ57" s="50"/>
      <c r="DA57" s="50"/>
      <c r="DB57" s="50"/>
      <c r="DC57" s="50"/>
      <c r="DD57" s="50"/>
      <c r="DE57" s="50"/>
      <c r="DF57" s="50"/>
      <c r="DG57" s="50"/>
      <c r="DH57" s="50"/>
      <c r="DI57" s="50"/>
      <c r="DJ57" s="50"/>
      <c r="DK57" s="50"/>
      <c r="DL57" s="50"/>
      <c r="DM57" s="50"/>
      <c r="DN57" s="50"/>
      <c r="DO57" s="50"/>
      <c r="DP57" s="50"/>
      <c r="DQ57" s="50"/>
      <c r="DR57" s="50"/>
      <c r="DS57" s="50"/>
      <c r="DT57" s="50"/>
      <c r="DU57" s="50"/>
      <c r="DV57" s="50"/>
      <c r="DW57" s="50"/>
      <c r="DX57" s="50"/>
      <c r="DY57" s="50"/>
      <c r="DZ57" s="50"/>
      <c r="EA57" s="50"/>
      <c r="EB57" s="50"/>
      <c r="EC57" s="50"/>
      <c r="ED57" s="50"/>
      <c r="EE57" s="50"/>
      <c r="EF57" s="50"/>
      <c r="EG57" s="50"/>
      <c r="EH57" s="50"/>
      <c r="EI57" s="50"/>
      <c r="EJ57" s="50"/>
      <c r="EK57" s="50"/>
      <c r="EL57" s="50"/>
      <c r="EM57" s="50"/>
      <c r="EN57" s="50"/>
      <c r="EO57" s="50"/>
      <c r="EP57" s="50"/>
      <c r="EQ57" s="50"/>
      <c r="ER57" s="50"/>
      <c r="ES57" s="50"/>
      <c r="ET57" s="50"/>
      <c r="EU57" s="50"/>
      <c r="EV57" s="50"/>
      <c r="EW57" s="50"/>
      <c r="EX57" s="50"/>
      <c r="EY57" s="50"/>
      <c r="EZ57" s="50"/>
      <c r="FA57" s="50"/>
      <c r="FB57" s="50"/>
      <c r="FC57" s="50"/>
      <c r="FD57" s="50"/>
      <c r="FE57" s="50"/>
      <c r="FF57" s="50"/>
      <c r="FG57" s="50"/>
      <c r="FH57" s="50"/>
      <c r="FI57" s="50"/>
      <c r="FJ57" s="50"/>
      <c r="FK57" s="50"/>
      <c r="FL57" s="50"/>
      <c r="FM57" s="50"/>
      <c r="FN57" s="50"/>
      <c r="FO57" s="50"/>
      <c r="FP57" s="50"/>
      <c r="FQ57" s="50"/>
      <c r="FR57" s="50"/>
      <c r="FS57" s="50"/>
      <c r="FT57" s="50"/>
      <c r="FU57" s="50"/>
      <c r="FV57" s="50"/>
      <c r="FW57" s="50"/>
      <c r="FX57" s="50"/>
      <c r="FY57" s="50"/>
      <c r="FZ57" s="50"/>
      <c r="GA57" s="50"/>
      <c r="GB57" s="50"/>
      <c r="GC57" s="50"/>
      <c r="GD57" s="50"/>
      <c r="GE57" s="50"/>
      <c r="GF57" s="50"/>
      <c r="GG57" s="50"/>
      <c r="GH57" s="50"/>
      <c r="GI57" s="50"/>
      <c r="GJ57" s="50"/>
      <c r="GK57" s="50"/>
      <c r="GL57" s="50"/>
      <c r="GM57" s="50"/>
      <c r="GN57" s="50"/>
      <c r="GO57" s="50"/>
      <c r="GP57" s="50"/>
      <c r="GQ57" s="50"/>
      <c r="GR57" s="50"/>
      <c r="GS57" s="50"/>
      <c r="GT57" s="50"/>
      <c r="GU57" s="50"/>
      <c r="GV57" s="50"/>
      <c r="GW57" s="50"/>
      <c r="GX57" s="50"/>
      <c r="GY57" s="50"/>
      <c r="GZ57" s="50"/>
      <c r="HA57" s="50"/>
      <c r="HB57" s="50"/>
      <c r="HC57" s="50"/>
      <c r="HD57" s="50"/>
      <c r="HE57" s="50"/>
      <c r="HF57" s="50"/>
      <c r="HG57" s="50"/>
      <c r="HH57" s="50"/>
      <c r="HI57" s="50"/>
      <c r="HJ57" s="50"/>
      <c r="HK57" s="50"/>
      <c r="HL57" s="50"/>
      <c r="HM57" s="50"/>
      <c r="HN57" s="50"/>
      <c r="HO57" s="50"/>
      <c r="HP57" s="50"/>
      <c r="HQ57" s="50"/>
      <c r="HR57" s="50"/>
      <c r="HS57" s="50"/>
      <c r="HT57" s="50"/>
      <c r="HU57" s="50"/>
      <c r="HV57" s="50"/>
      <c r="HW57" s="50"/>
      <c r="HX57" s="50"/>
      <c r="HY57" s="50"/>
      <c r="HZ57" s="50"/>
      <c r="IA57" s="50"/>
      <c r="IB57" s="50"/>
      <c r="IC57" s="50"/>
      <c r="ID57" s="50"/>
      <c r="IE57" s="50"/>
      <c r="IF57" s="50"/>
      <c r="IG57" s="50"/>
      <c r="IH57" s="50"/>
      <c r="II57" s="50"/>
      <c r="IJ57" s="50"/>
      <c r="IK57" s="50"/>
      <c r="IL57" s="50"/>
      <c r="IM57" s="50"/>
      <c r="IN57" s="50"/>
      <c r="IO57" s="50"/>
      <c r="IP57" s="50"/>
      <c r="IQ57" s="50"/>
      <c r="IR57" s="50"/>
      <c r="IS57" s="50"/>
      <c r="IT57" s="50"/>
      <c r="IU57" s="50"/>
      <c r="IV57" s="50"/>
    </row>
    <row r="58" spans="1:256" ht="33.75" x14ac:dyDescent="0.35">
      <c r="A58" s="1403">
        <v>49</v>
      </c>
      <c r="B58" s="50"/>
      <c r="C58" s="19"/>
      <c r="D58" s="1684" t="s">
        <v>1023</v>
      </c>
      <c r="E58" s="1557">
        <v>123083</v>
      </c>
      <c r="F58" s="1410"/>
      <c r="G58" s="1410"/>
      <c r="H58" s="1410"/>
      <c r="I58" s="50"/>
      <c r="J58" s="50"/>
      <c r="K58" s="50"/>
      <c r="L58" s="50"/>
      <c r="M58" s="50"/>
      <c r="N58" s="50"/>
      <c r="O58" s="50"/>
      <c r="P58" s="50"/>
      <c r="Q58" s="50"/>
      <c r="R58" s="50"/>
      <c r="S58" s="50"/>
      <c r="T58" s="50"/>
      <c r="U58" s="50"/>
      <c r="V58" s="50"/>
      <c r="W58" s="50"/>
      <c r="X58" s="50"/>
      <c r="Y58" s="50"/>
      <c r="Z58" s="50"/>
      <c r="AA58" s="50"/>
      <c r="AB58" s="50"/>
      <c r="AC58" s="50"/>
      <c r="AD58" s="50"/>
      <c r="AE58" s="50"/>
      <c r="AF58" s="50"/>
      <c r="AG58" s="50"/>
      <c r="AH58" s="50"/>
      <c r="AI58" s="50"/>
      <c r="AJ58" s="50"/>
      <c r="AK58" s="50"/>
      <c r="AL58" s="50"/>
      <c r="AM58" s="50"/>
      <c r="AN58" s="50"/>
      <c r="AO58" s="50"/>
      <c r="AP58" s="50"/>
      <c r="AQ58" s="50"/>
      <c r="AR58" s="50"/>
      <c r="AS58" s="50"/>
      <c r="AT58" s="50"/>
      <c r="AU58" s="50"/>
      <c r="AV58" s="50"/>
      <c r="AW58" s="50"/>
      <c r="AX58" s="50"/>
      <c r="AY58" s="50"/>
      <c r="AZ58" s="50"/>
      <c r="BA58" s="50"/>
      <c r="BB58" s="50"/>
      <c r="BC58" s="50"/>
      <c r="BD58" s="50"/>
      <c r="BE58" s="50"/>
      <c r="BF58" s="50"/>
      <c r="BG58" s="50"/>
      <c r="BH58" s="50"/>
      <c r="BI58" s="50"/>
      <c r="BJ58" s="50"/>
      <c r="BK58" s="50"/>
      <c r="BL58" s="50"/>
      <c r="BM58" s="50"/>
      <c r="BN58" s="50"/>
      <c r="BO58" s="50"/>
      <c r="BP58" s="50"/>
      <c r="BQ58" s="50"/>
      <c r="BR58" s="50"/>
      <c r="BS58" s="50"/>
      <c r="BT58" s="50"/>
      <c r="BU58" s="50"/>
      <c r="BV58" s="50"/>
      <c r="BW58" s="50"/>
      <c r="BX58" s="50"/>
      <c r="BY58" s="50"/>
      <c r="BZ58" s="50"/>
      <c r="CA58" s="50"/>
      <c r="CB58" s="50"/>
      <c r="CC58" s="50"/>
      <c r="CD58" s="50"/>
      <c r="CE58" s="50"/>
      <c r="CF58" s="50"/>
      <c r="CG58" s="50"/>
      <c r="CH58" s="50"/>
      <c r="CI58" s="50"/>
      <c r="CJ58" s="50"/>
      <c r="CK58" s="50"/>
      <c r="CL58" s="50"/>
      <c r="CM58" s="50"/>
      <c r="CN58" s="50"/>
      <c r="CO58" s="50"/>
      <c r="CP58" s="50"/>
      <c r="CQ58" s="50"/>
      <c r="CR58" s="50"/>
      <c r="CS58" s="50"/>
      <c r="CT58" s="50"/>
      <c r="CU58" s="50"/>
      <c r="CV58" s="50"/>
      <c r="CW58" s="50"/>
      <c r="CX58" s="50"/>
      <c r="CY58" s="50"/>
      <c r="CZ58" s="50"/>
      <c r="DA58" s="50"/>
      <c r="DB58" s="50"/>
      <c r="DC58" s="50"/>
      <c r="DD58" s="50"/>
      <c r="DE58" s="50"/>
      <c r="DF58" s="50"/>
      <c r="DG58" s="50"/>
      <c r="DH58" s="50"/>
      <c r="DI58" s="50"/>
      <c r="DJ58" s="50"/>
      <c r="DK58" s="50"/>
      <c r="DL58" s="50"/>
      <c r="DM58" s="50"/>
      <c r="DN58" s="50"/>
      <c r="DO58" s="50"/>
      <c r="DP58" s="50"/>
      <c r="DQ58" s="50"/>
      <c r="DR58" s="50"/>
      <c r="DS58" s="50"/>
      <c r="DT58" s="50"/>
      <c r="DU58" s="50"/>
      <c r="DV58" s="50"/>
      <c r="DW58" s="50"/>
      <c r="DX58" s="50"/>
      <c r="DY58" s="50"/>
      <c r="DZ58" s="50"/>
      <c r="EA58" s="50"/>
      <c r="EB58" s="50"/>
      <c r="EC58" s="50"/>
      <c r="ED58" s="50"/>
      <c r="EE58" s="50"/>
      <c r="EF58" s="50"/>
      <c r="EG58" s="50"/>
      <c r="EH58" s="50"/>
      <c r="EI58" s="50"/>
      <c r="EJ58" s="50"/>
      <c r="EK58" s="50"/>
      <c r="EL58" s="50"/>
      <c r="EM58" s="50"/>
      <c r="EN58" s="50"/>
      <c r="EO58" s="50"/>
      <c r="EP58" s="50"/>
      <c r="EQ58" s="50"/>
      <c r="ER58" s="50"/>
      <c r="ES58" s="50"/>
      <c r="ET58" s="50"/>
      <c r="EU58" s="50"/>
      <c r="EV58" s="50"/>
      <c r="EW58" s="50"/>
      <c r="EX58" s="50"/>
      <c r="EY58" s="50"/>
      <c r="EZ58" s="50"/>
      <c r="FA58" s="50"/>
      <c r="FB58" s="50"/>
      <c r="FC58" s="50"/>
      <c r="FD58" s="50"/>
      <c r="FE58" s="50"/>
      <c r="FF58" s="50"/>
      <c r="FG58" s="50"/>
      <c r="FH58" s="50"/>
      <c r="FI58" s="50"/>
      <c r="FJ58" s="50"/>
      <c r="FK58" s="50"/>
      <c r="FL58" s="50"/>
      <c r="FM58" s="50"/>
      <c r="FN58" s="50"/>
      <c r="FO58" s="50"/>
      <c r="FP58" s="50"/>
      <c r="FQ58" s="50"/>
      <c r="FR58" s="50"/>
      <c r="FS58" s="50"/>
      <c r="FT58" s="50"/>
      <c r="FU58" s="50"/>
      <c r="FV58" s="50"/>
      <c r="FW58" s="50"/>
      <c r="FX58" s="50"/>
      <c r="FY58" s="50"/>
      <c r="FZ58" s="50"/>
      <c r="GA58" s="50"/>
      <c r="GB58" s="50"/>
      <c r="GC58" s="50"/>
      <c r="GD58" s="50"/>
      <c r="GE58" s="50"/>
      <c r="GF58" s="50"/>
      <c r="GG58" s="50"/>
      <c r="GH58" s="50"/>
      <c r="GI58" s="50"/>
      <c r="GJ58" s="50"/>
      <c r="GK58" s="50"/>
      <c r="GL58" s="50"/>
      <c r="GM58" s="50"/>
      <c r="GN58" s="50"/>
      <c r="GO58" s="50"/>
      <c r="GP58" s="50"/>
      <c r="GQ58" s="50"/>
      <c r="GR58" s="50"/>
      <c r="GS58" s="50"/>
      <c r="GT58" s="50"/>
      <c r="GU58" s="50"/>
      <c r="GV58" s="50"/>
      <c r="GW58" s="50"/>
      <c r="GX58" s="50"/>
      <c r="GY58" s="50"/>
      <c r="GZ58" s="50"/>
      <c r="HA58" s="50"/>
      <c r="HB58" s="50"/>
      <c r="HC58" s="50"/>
      <c r="HD58" s="50"/>
      <c r="HE58" s="50"/>
      <c r="HF58" s="50"/>
      <c r="HG58" s="50"/>
      <c r="HH58" s="50"/>
      <c r="HI58" s="50"/>
      <c r="HJ58" s="50"/>
      <c r="HK58" s="50"/>
      <c r="HL58" s="50"/>
      <c r="HM58" s="50"/>
      <c r="HN58" s="50"/>
      <c r="HO58" s="50"/>
      <c r="HP58" s="50"/>
      <c r="HQ58" s="50"/>
      <c r="HR58" s="50"/>
      <c r="HS58" s="50"/>
      <c r="HT58" s="50"/>
      <c r="HU58" s="50"/>
      <c r="HV58" s="50"/>
      <c r="HW58" s="50"/>
      <c r="HX58" s="50"/>
      <c r="HY58" s="50"/>
      <c r="HZ58" s="50"/>
      <c r="IA58" s="50"/>
      <c r="IB58" s="50"/>
      <c r="IC58" s="50"/>
      <c r="ID58" s="50"/>
      <c r="IE58" s="50"/>
      <c r="IF58" s="50"/>
      <c r="IG58" s="50"/>
      <c r="IH58" s="50"/>
      <c r="II58" s="50"/>
      <c r="IJ58" s="50"/>
      <c r="IK58" s="50"/>
      <c r="IL58" s="50"/>
      <c r="IM58" s="50"/>
      <c r="IN58" s="50"/>
      <c r="IO58" s="50"/>
      <c r="IP58" s="50"/>
      <c r="IQ58" s="50"/>
      <c r="IR58" s="50"/>
      <c r="IS58" s="50"/>
      <c r="IT58" s="50"/>
      <c r="IU58" s="50"/>
      <c r="IV58" s="50"/>
    </row>
    <row r="59" spans="1:256" ht="33.75" x14ac:dyDescent="0.35">
      <c r="A59" s="1403">
        <v>50</v>
      </c>
      <c r="B59" s="50"/>
      <c r="C59" s="19"/>
      <c r="D59" s="1684" t="s">
        <v>1024</v>
      </c>
      <c r="E59" s="1557">
        <v>255451</v>
      </c>
      <c r="F59" s="1410"/>
      <c r="G59" s="1410"/>
      <c r="H59" s="1410"/>
      <c r="I59" s="50"/>
      <c r="J59" s="50"/>
      <c r="K59" s="50"/>
      <c r="L59" s="50"/>
      <c r="M59" s="50"/>
      <c r="N59" s="50"/>
      <c r="O59" s="50"/>
      <c r="P59" s="50"/>
      <c r="Q59" s="50"/>
      <c r="R59" s="50"/>
      <c r="S59" s="50"/>
      <c r="T59" s="50"/>
      <c r="U59" s="50"/>
      <c r="V59" s="50"/>
      <c r="W59" s="50"/>
      <c r="X59" s="50"/>
      <c r="Y59" s="50"/>
      <c r="Z59" s="50"/>
      <c r="AA59" s="50"/>
      <c r="AB59" s="50"/>
      <c r="AC59" s="50"/>
      <c r="AD59" s="50"/>
      <c r="AE59" s="50"/>
      <c r="AF59" s="50"/>
      <c r="AG59" s="50"/>
      <c r="AH59" s="50"/>
      <c r="AI59" s="50"/>
      <c r="AJ59" s="50"/>
      <c r="AK59" s="50"/>
      <c r="AL59" s="50"/>
      <c r="AM59" s="50"/>
      <c r="AN59" s="50"/>
      <c r="AO59" s="50"/>
      <c r="AP59" s="50"/>
      <c r="AQ59" s="50"/>
      <c r="AR59" s="50"/>
      <c r="AS59" s="50"/>
      <c r="AT59" s="50"/>
      <c r="AU59" s="50"/>
      <c r="AV59" s="50"/>
      <c r="AW59" s="50"/>
      <c r="AX59" s="50"/>
      <c r="AY59" s="50"/>
      <c r="AZ59" s="50"/>
      <c r="BA59" s="50"/>
      <c r="BB59" s="50"/>
      <c r="BC59" s="50"/>
      <c r="BD59" s="50"/>
      <c r="BE59" s="50"/>
      <c r="BF59" s="50"/>
      <c r="BG59" s="50"/>
      <c r="BH59" s="50"/>
      <c r="BI59" s="50"/>
      <c r="BJ59" s="50"/>
      <c r="BK59" s="50"/>
      <c r="BL59" s="50"/>
      <c r="BM59" s="50"/>
      <c r="BN59" s="50"/>
      <c r="BO59" s="50"/>
      <c r="BP59" s="50"/>
      <c r="BQ59" s="50"/>
      <c r="BR59" s="50"/>
      <c r="BS59" s="50"/>
      <c r="BT59" s="50"/>
      <c r="BU59" s="50"/>
      <c r="BV59" s="50"/>
      <c r="BW59" s="50"/>
      <c r="BX59" s="50"/>
      <c r="BY59" s="50"/>
      <c r="BZ59" s="50"/>
      <c r="CA59" s="50"/>
      <c r="CB59" s="50"/>
      <c r="CC59" s="50"/>
      <c r="CD59" s="50"/>
      <c r="CE59" s="50"/>
      <c r="CF59" s="50"/>
      <c r="CG59" s="50"/>
      <c r="CH59" s="50"/>
      <c r="CI59" s="50"/>
      <c r="CJ59" s="50"/>
      <c r="CK59" s="50"/>
      <c r="CL59" s="50"/>
      <c r="CM59" s="50"/>
      <c r="CN59" s="50"/>
      <c r="CO59" s="50"/>
      <c r="CP59" s="50"/>
      <c r="CQ59" s="50"/>
      <c r="CR59" s="50"/>
      <c r="CS59" s="50"/>
      <c r="CT59" s="50"/>
      <c r="CU59" s="50"/>
      <c r="CV59" s="50"/>
      <c r="CW59" s="50"/>
      <c r="CX59" s="50"/>
      <c r="CY59" s="50"/>
      <c r="CZ59" s="50"/>
      <c r="DA59" s="50"/>
      <c r="DB59" s="50"/>
      <c r="DC59" s="50"/>
      <c r="DD59" s="50"/>
      <c r="DE59" s="50"/>
      <c r="DF59" s="50"/>
      <c r="DG59" s="50"/>
      <c r="DH59" s="50"/>
      <c r="DI59" s="50"/>
      <c r="DJ59" s="50"/>
      <c r="DK59" s="50"/>
      <c r="DL59" s="50"/>
      <c r="DM59" s="50"/>
      <c r="DN59" s="50"/>
      <c r="DO59" s="50"/>
      <c r="DP59" s="50"/>
      <c r="DQ59" s="50"/>
      <c r="DR59" s="50"/>
      <c r="DS59" s="50"/>
      <c r="DT59" s="50"/>
      <c r="DU59" s="50"/>
      <c r="DV59" s="50"/>
      <c r="DW59" s="50"/>
      <c r="DX59" s="50"/>
      <c r="DY59" s="50"/>
      <c r="DZ59" s="50"/>
      <c r="EA59" s="50"/>
      <c r="EB59" s="50"/>
      <c r="EC59" s="50"/>
      <c r="ED59" s="50"/>
      <c r="EE59" s="50"/>
      <c r="EF59" s="50"/>
      <c r="EG59" s="50"/>
      <c r="EH59" s="50"/>
      <c r="EI59" s="50"/>
      <c r="EJ59" s="50"/>
      <c r="EK59" s="50"/>
      <c r="EL59" s="50"/>
      <c r="EM59" s="50"/>
      <c r="EN59" s="50"/>
      <c r="EO59" s="50"/>
      <c r="EP59" s="50"/>
      <c r="EQ59" s="50"/>
      <c r="ER59" s="50"/>
      <c r="ES59" s="50"/>
      <c r="ET59" s="50"/>
      <c r="EU59" s="50"/>
      <c r="EV59" s="50"/>
      <c r="EW59" s="50"/>
      <c r="EX59" s="50"/>
      <c r="EY59" s="50"/>
      <c r="EZ59" s="50"/>
      <c r="FA59" s="50"/>
      <c r="FB59" s="50"/>
      <c r="FC59" s="50"/>
      <c r="FD59" s="50"/>
      <c r="FE59" s="50"/>
      <c r="FF59" s="50"/>
      <c r="FG59" s="50"/>
      <c r="FH59" s="50"/>
      <c r="FI59" s="50"/>
      <c r="FJ59" s="50"/>
      <c r="FK59" s="50"/>
      <c r="FL59" s="50"/>
      <c r="FM59" s="50"/>
      <c r="FN59" s="50"/>
      <c r="FO59" s="50"/>
      <c r="FP59" s="50"/>
      <c r="FQ59" s="50"/>
      <c r="FR59" s="50"/>
      <c r="FS59" s="50"/>
      <c r="FT59" s="50"/>
      <c r="FU59" s="50"/>
      <c r="FV59" s="50"/>
      <c r="FW59" s="50"/>
      <c r="FX59" s="50"/>
      <c r="FY59" s="50"/>
      <c r="FZ59" s="50"/>
      <c r="GA59" s="50"/>
      <c r="GB59" s="50"/>
      <c r="GC59" s="50"/>
      <c r="GD59" s="50"/>
      <c r="GE59" s="50"/>
      <c r="GF59" s="50"/>
      <c r="GG59" s="50"/>
      <c r="GH59" s="50"/>
      <c r="GI59" s="50"/>
      <c r="GJ59" s="50"/>
      <c r="GK59" s="50"/>
      <c r="GL59" s="50"/>
      <c r="GM59" s="50"/>
      <c r="GN59" s="50"/>
      <c r="GO59" s="50"/>
      <c r="GP59" s="50"/>
      <c r="GQ59" s="50"/>
      <c r="GR59" s="50"/>
      <c r="GS59" s="50"/>
      <c r="GT59" s="50"/>
      <c r="GU59" s="50"/>
      <c r="GV59" s="50"/>
      <c r="GW59" s="50"/>
      <c r="GX59" s="50"/>
      <c r="GY59" s="50"/>
      <c r="GZ59" s="50"/>
      <c r="HA59" s="50"/>
      <c r="HB59" s="50"/>
      <c r="HC59" s="50"/>
      <c r="HD59" s="50"/>
      <c r="HE59" s="50"/>
      <c r="HF59" s="50"/>
      <c r="HG59" s="50"/>
      <c r="HH59" s="50"/>
      <c r="HI59" s="50"/>
      <c r="HJ59" s="50"/>
      <c r="HK59" s="50"/>
      <c r="HL59" s="50"/>
      <c r="HM59" s="50"/>
      <c r="HN59" s="50"/>
      <c r="HO59" s="50"/>
      <c r="HP59" s="50"/>
      <c r="HQ59" s="50"/>
      <c r="HR59" s="50"/>
      <c r="HS59" s="50"/>
      <c r="HT59" s="50"/>
      <c r="HU59" s="50"/>
      <c r="HV59" s="50"/>
      <c r="HW59" s="50"/>
      <c r="HX59" s="50"/>
      <c r="HY59" s="50"/>
      <c r="HZ59" s="50"/>
      <c r="IA59" s="50"/>
      <c r="IB59" s="50"/>
      <c r="IC59" s="50"/>
      <c r="ID59" s="50"/>
      <c r="IE59" s="50"/>
      <c r="IF59" s="50"/>
      <c r="IG59" s="50"/>
      <c r="IH59" s="50"/>
      <c r="II59" s="50"/>
      <c r="IJ59" s="50"/>
      <c r="IK59" s="50"/>
      <c r="IL59" s="50"/>
      <c r="IM59" s="50"/>
      <c r="IN59" s="50"/>
      <c r="IO59" s="50"/>
      <c r="IP59" s="50"/>
      <c r="IQ59" s="50"/>
      <c r="IR59" s="50"/>
      <c r="IS59" s="50"/>
      <c r="IT59" s="50"/>
      <c r="IU59" s="50"/>
      <c r="IV59" s="50"/>
    </row>
    <row r="60" spans="1:256" ht="37.5" customHeight="1" x14ac:dyDescent="0.35">
      <c r="A60" s="1403">
        <v>51</v>
      </c>
      <c r="B60" s="50"/>
      <c r="C60" s="19"/>
      <c r="D60" s="1684" t="s">
        <v>1025</v>
      </c>
      <c r="E60" s="1557">
        <v>224112</v>
      </c>
      <c r="F60" s="1410"/>
      <c r="G60" s="1410"/>
      <c r="H60" s="1410"/>
      <c r="I60" s="50"/>
      <c r="J60" s="50"/>
      <c r="K60" s="50"/>
      <c r="L60" s="50"/>
      <c r="M60" s="50"/>
      <c r="N60" s="50"/>
      <c r="O60" s="50"/>
      <c r="P60" s="50"/>
      <c r="Q60" s="50"/>
      <c r="R60" s="50"/>
      <c r="S60" s="50"/>
      <c r="T60" s="50"/>
      <c r="U60" s="50"/>
      <c r="V60" s="50"/>
      <c r="W60" s="50"/>
      <c r="X60" s="50"/>
      <c r="Y60" s="50"/>
      <c r="Z60" s="50"/>
      <c r="AA60" s="50"/>
      <c r="AB60" s="50"/>
      <c r="AC60" s="50"/>
      <c r="AD60" s="50"/>
      <c r="AE60" s="50"/>
      <c r="AF60" s="50"/>
      <c r="AG60" s="50"/>
      <c r="AH60" s="50"/>
      <c r="AI60" s="50"/>
      <c r="AJ60" s="50"/>
      <c r="AK60" s="50"/>
      <c r="AL60" s="50"/>
      <c r="AM60" s="50"/>
      <c r="AN60" s="50"/>
      <c r="AO60" s="50"/>
      <c r="AP60" s="50"/>
      <c r="AQ60" s="50"/>
      <c r="AR60" s="50"/>
      <c r="AS60" s="50"/>
      <c r="AT60" s="50"/>
      <c r="AU60" s="50"/>
      <c r="AV60" s="50"/>
      <c r="AW60" s="50"/>
      <c r="AX60" s="50"/>
      <c r="AY60" s="50"/>
      <c r="AZ60" s="50"/>
      <c r="BA60" s="50"/>
      <c r="BB60" s="50"/>
      <c r="BC60" s="50"/>
      <c r="BD60" s="50"/>
      <c r="BE60" s="50"/>
      <c r="BF60" s="50"/>
      <c r="BG60" s="50"/>
      <c r="BH60" s="50"/>
      <c r="BI60" s="50"/>
      <c r="BJ60" s="50"/>
      <c r="BK60" s="50"/>
      <c r="BL60" s="50"/>
      <c r="BM60" s="50"/>
      <c r="BN60" s="50"/>
      <c r="BO60" s="50"/>
      <c r="BP60" s="50"/>
      <c r="BQ60" s="50"/>
      <c r="BR60" s="50"/>
      <c r="BS60" s="50"/>
      <c r="BT60" s="50"/>
      <c r="BU60" s="50"/>
      <c r="BV60" s="50"/>
      <c r="BW60" s="50"/>
      <c r="BX60" s="50"/>
      <c r="BY60" s="50"/>
      <c r="BZ60" s="50"/>
      <c r="CA60" s="50"/>
      <c r="CB60" s="50"/>
      <c r="CC60" s="50"/>
      <c r="CD60" s="50"/>
      <c r="CE60" s="50"/>
      <c r="CF60" s="50"/>
      <c r="CG60" s="50"/>
      <c r="CH60" s="50"/>
      <c r="CI60" s="50"/>
      <c r="CJ60" s="50"/>
      <c r="CK60" s="50"/>
      <c r="CL60" s="50"/>
      <c r="CM60" s="50"/>
      <c r="CN60" s="50"/>
      <c r="CO60" s="50"/>
      <c r="CP60" s="50"/>
      <c r="CQ60" s="50"/>
      <c r="CR60" s="50"/>
      <c r="CS60" s="50"/>
      <c r="CT60" s="50"/>
      <c r="CU60" s="50"/>
      <c r="CV60" s="50"/>
      <c r="CW60" s="50"/>
      <c r="CX60" s="50"/>
      <c r="CY60" s="50"/>
      <c r="CZ60" s="50"/>
      <c r="DA60" s="50"/>
      <c r="DB60" s="50"/>
      <c r="DC60" s="50"/>
      <c r="DD60" s="50"/>
      <c r="DE60" s="50"/>
      <c r="DF60" s="50"/>
      <c r="DG60" s="50"/>
      <c r="DH60" s="50"/>
      <c r="DI60" s="50"/>
      <c r="DJ60" s="50"/>
      <c r="DK60" s="50"/>
      <c r="DL60" s="50"/>
      <c r="DM60" s="50"/>
      <c r="DN60" s="50"/>
      <c r="DO60" s="50"/>
      <c r="DP60" s="50"/>
      <c r="DQ60" s="50"/>
      <c r="DR60" s="50"/>
      <c r="DS60" s="50"/>
      <c r="DT60" s="50"/>
      <c r="DU60" s="50"/>
      <c r="DV60" s="50"/>
      <c r="DW60" s="50"/>
      <c r="DX60" s="50"/>
      <c r="DY60" s="50"/>
      <c r="DZ60" s="50"/>
      <c r="EA60" s="50"/>
      <c r="EB60" s="50"/>
      <c r="EC60" s="50"/>
      <c r="ED60" s="50"/>
      <c r="EE60" s="50"/>
      <c r="EF60" s="50"/>
      <c r="EG60" s="50"/>
      <c r="EH60" s="50"/>
      <c r="EI60" s="50"/>
      <c r="EJ60" s="50"/>
      <c r="EK60" s="50"/>
      <c r="EL60" s="50"/>
      <c r="EM60" s="50"/>
      <c r="EN60" s="50"/>
      <c r="EO60" s="50"/>
      <c r="EP60" s="50"/>
      <c r="EQ60" s="50"/>
      <c r="ER60" s="50"/>
      <c r="ES60" s="50"/>
      <c r="ET60" s="50"/>
      <c r="EU60" s="50"/>
      <c r="EV60" s="50"/>
      <c r="EW60" s="50"/>
      <c r="EX60" s="50"/>
      <c r="EY60" s="50"/>
      <c r="EZ60" s="50"/>
      <c r="FA60" s="50"/>
      <c r="FB60" s="50"/>
      <c r="FC60" s="50"/>
      <c r="FD60" s="50"/>
      <c r="FE60" s="50"/>
      <c r="FF60" s="50"/>
      <c r="FG60" s="50"/>
      <c r="FH60" s="50"/>
      <c r="FI60" s="50"/>
      <c r="FJ60" s="50"/>
      <c r="FK60" s="50"/>
      <c r="FL60" s="50"/>
      <c r="FM60" s="50"/>
      <c r="FN60" s="50"/>
      <c r="FO60" s="50"/>
      <c r="FP60" s="50"/>
      <c r="FQ60" s="50"/>
      <c r="FR60" s="50"/>
      <c r="FS60" s="50"/>
      <c r="FT60" s="50"/>
      <c r="FU60" s="50"/>
      <c r="FV60" s="50"/>
      <c r="FW60" s="50"/>
      <c r="FX60" s="50"/>
      <c r="FY60" s="50"/>
      <c r="FZ60" s="50"/>
      <c r="GA60" s="50"/>
      <c r="GB60" s="50"/>
      <c r="GC60" s="50"/>
      <c r="GD60" s="50"/>
      <c r="GE60" s="50"/>
      <c r="GF60" s="50"/>
      <c r="GG60" s="50"/>
      <c r="GH60" s="50"/>
      <c r="GI60" s="50"/>
      <c r="GJ60" s="50"/>
      <c r="GK60" s="50"/>
      <c r="GL60" s="50"/>
      <c r="GM60" s="50"/>
      <c r="GN60" s="50"/>
      <c r="GO60" s="50"/>
      <c r="GP60" s="50"/>
      <c r="GQ60" s="50"/>
      <c r="GR60" s="50"/>
      <c r="GS60" s="50"/>
      <c r="GT60" s="50"/>
      <c r="GU60" s="50"/>
      <c r="GV60" s="50"/>
      <c r="GW60" s="50"/>
      <c r="GX60" s="50"/>
      <c r="GY60" s="50"/>
      <c r="GZ60" s="50"/>
      <c r="HA60" s="50"/>
      <c r="HB60" s="50"/>
      <c r="HC60" s="50"/>
      <c r="HD60" s="50"/>
      <c r="HE60" s="50"/>
      <c r="HF60" s="50"/>
      <c r="HG60" s="50"/>
      <c r="HH60" s="50"/>
      <c r="HI60" s="50"/>
      <c r="HJ60" s="50"/>
      <c r="HK60" s="50"/>
      <c r="HL60" s="50"/>
      <c r="HM60" s="50"/>
      <c r="HN60" s="50"/>
      <c r="HO60" s="50"/>
      <c r="HP60" s="50"/>
      <c r="HQ60" s="50"/>
      <c r="HR60" s="50"/>
      <c r="HS60" s="50"/>
      <c r="HT60" s="50"/>
      <c r="HU60" s="50"/>
      <c r="HV60" s="50"/>
      <c r="HW60" s="50"/>
      <c r="HX60" s="50"/>
      <c r="HY60" s="50"/>
      <c r="HZ60" s="50"/>
      <c r="IA60" s="50"/>
      <c r="IB60" s="50"/>
      <c r="IC60" s="50"/>
      <c r="ID60" s="50"/>
      <c r="IE60" s="50"/>
      <c r="IF60" s="50"/>
      <c r="IG60" s="50"/>
      <c r="IH60" s="50"/>
      <c r="II60" s="50"/>
      <c r="IJ60" s="50"/>
      <c r="IK60" s="50"/>
      <c r="IL60" s="50"/>
      <c r="IM60" s="50"/>
      <c r="IN60" s="50"/>
      <c r="IO60" s="50"/>
      <c r="IP60" s="50"/>
      <c r="IQ60" s="50"/>
      <c r="IR60" s="50"/>
      <c r="IS60" s="50"/>
      <c r="IT60" s="50"/>
      <c r="IU60" s="50"/>
      <c r="IV60" s="50"/>
    </row>
    <row r="61" spans="1:256" ht="33.75" x14ac:dyDescent="0.35">
      <c r="A61" s="1403">
        <v>52</v>
      </c>
      <c r="B61" s="50"/>
      <c r="C61" s="19"/>
      <c r="D61" s="1684" t="s">
        <v>1026</v>
      </c>
      <c r="E61" s="1557">
        <v>89059</v>
      </c>
      <c r="F61" s="1410"/>
      <c r="G61" s="1410"/>
      <c r="H61" s="1410"/>
      <c r="I61" s="50"/>
      <c r="J61" s="50"/>
      <c r="K61" s="50"/>
      <c r="L61" s="50"/>
      <c r="M61" s="50"/>
      <c r="N61" s="50"/>
      <c r="O61" s="50"/>
      <c r="P61" s="50"/>
      <c r="Q61" s="50"/>
      <c r="R61" s="50"/>
      <c r="S61" s="50"/>
      <c r="T61" s="50"/>
      <c r="U61" s="50"/>
      <c r="V61" s="50"/>
      <c r="W61" s="50"/>
      <c r="X61" s="50"/>
      <c r="Y61" s="50"/>
      <c r="Z61" s="50"/>
      <c r="AA61" s="50"/>
      <c r="AB61" s="50"/>
      <c r="AC61" s="50"/>
      <c r="AD61" s="50"/>
      <c r="AE61" s="50"/>
      <c r="AF61" s="50"/>
      <c r="AG61" s="50"/>
      <c r="AH61" s="50"/>
      <c r="AI61" s="50"/>
      <c r="AJ61" s="50"/>
      <c r="AK61" s="50"/>
      <c r="AL61" s="50"/>
      <c r="AM61" s="50"/>
      <c r="AN61" s="50"/>
      <c r="AO61" s="50"/>
      <c r="AP61" s="50"/>
      <c r="AQ61" s="50"/>
      <c r="AR61" s="50"/>
      <c r="AS61" s="50"/>
      <c r="AT61" s="50"/>
      <c r="AU61" s="50"/>
      <c r="AV61" s="50"/>
      <c r="AW61" s="50"/>
      <c r="AX61" s="50"/>
      <c r="AY61" s="50"/>
      <c r="AZ61" s="50"/>
      <c r="BA61" s="50"/>
      <c r="BB61" s="50"/>
      <c r="BC61" s="50"/>
      <c r="BD61" s="50"/>
      <c r="BE61" s="50"/>
      <c r="BF61" s="50"/>
      <c r="BG61" s="50"/>
      <c r="BH61" s="50"/>
      <c r="BI61" s="50"/>
      <c r="BJ61" s="50"/>
      <c r="BK61" s="50"/>
      <c r="BL61" s="50"/>
      <c r="BM61" s="50"/>
      <c r="BN61" s="50"/>
      <c r="BO61" s="50"/>
      <c r="BP61" s="50"/>
      <c r="BQ61" s="50"/>
      <c r="BR61" s="50"/>
      <c r="BS61" s="50"/>
      <c r="BT61" s="50"/>
      <c r="BU61" s="50"/>
      <c r="BV61" s="50"/>
      <c r="BW61" s="50"/>
      <c r="BX61" s="50"/>
      <c r="BY61" s="50"/>
      <c r="BZ61" s="50"/>
      <c r="CA61" s="50"/>
      <c r="CB61" s="50"/>
      <c r="CC61" s="50"/>
      <c r="CD61" s="50"/>
      <c r="CE61" s="50"/>
      <c r="CF61" s="50"/>
      <c r="CG61" s="50"/>
      <c r="CH61" s="50"/>
      <c r="CI61" s="50"/>
      <c r="CJ61" s="50"/>
      <c r="CK61" s="50"/>
      <c r="CL61" s="50"/>
      <c r="CM61" s="50"/>
      <c r="CN61" s="50"/>
      <c r="CO61" s="50"/>
      <c r="CP61" s="50"/>
      <c r="CQ61" s="50"/>
      <c r="CR61" s="50"/>
      <c r="CS61" s="50"/>
      <c r="CT61" s="50"/>
      <c r="CU61" s="50"/>
      <c r="CV61" s="50"/>
      <c r="CW61" s="50"/>
      <c r="CX61" s="50"/>
      <c r="CY61" s="50"/>
      <c r="CZ61" s="50"/>
      <c r="DA61" s="50"/>
      <c r="DB61" s="50"/>
      <c r="DC61" s="50"/>
      <c r="DD61" s="50"/>
      <c r="DE61" s="50"/>
      <c r="DF61" s="50"/>
      <c r="DG61" s="50"/>
      <c r="DH61" s="50"/>
      <c r="DI61" s="50"/>
      <c r="DJ61" s="50"/>
      <c r="DK61" s="50"/>
      <c r="DL61" s="50"/>
      <c r="DM61" s="50"/>
      <c r="DN61" s="50"/>
      <c r="DO61" s="50"/>
      <c r="DP61" s="50"/>
      <c r="DQ61" s="50"/>
      <c r="DR61" s="50"/>
      <c r="DS61" s="50"/>
      <c r="DT61" s="50"/>
      <c r="DU61" s="50"/>
      <c r="DV61" s="50"/>
      <c r="DW61" s="50"/>
      <c r="DX61" s="50"/>
      <c r="DY61" s="50"/>
      <c r="DZ61" s="50"/>
      <c r="EA61" s="50"/>
      <c r="EB61" s="50"/>
      <c r="EC61" s="50"/>
      <c r="ED61" s="50"/>
      <c r="EE61" s="50"/>
      <c r="EF61" s="50"/>
      <c r="EG61" s="50"/>
      <c r="EH61" s="50"/>
      <c r="EI61" s="50"/>
      <c r="EJ61" s="50"/>
      <c r="EK61" s="50"/>
      <c r="EL61" s="50"/>
      <c r="EM61" s="50"/>
      <c r="EN61" s="50"/>
      <c r="EO61" s="50"/>
      <c r="EP61" s="50"/>
      <c r="EQ61" s="50"/>
      <c r="ER61" s="50"/>
      <c r="ES61" s="50"/>
      <c r="ET61" s="50"/>
      <c r="EU61" s="50"/>
      <c r="EV61" s="50"/>
      <c r="EW61" s="50"/>
      <c r="EX61" s="50"/>
      <c r="EY61" s="50"/>
      <c r="EZ61" s="50"/>
      <c r="FA61" s="50"/>
      <c r="FB61" s="50"/>
      <c r="FC61" s="50"/>
      <c r="FD61" s="50"/>
      <c r="FE61" s="50"/>
      <c r="FF61" s="50"/>
      <c r="FG61" s="50"/>
      <c r="FH61" s="50"/>
      <c r="FI61" s="50"/>
      <c r="FJ61" s="50"/>
      <c r="FK61" s="50"/>
      <c r="FL61" s="50"/>
      <c r="FM61" s="50"/>
      <c r="FN61" s="50"/>
      <c r="FO61" s="50"/>
      <c r="FP61" s="50"/>
      <c r="FQ61" s="50"/>
      <c r="FR61" s="50"/>
      <c r="FS61" s="50"/>
      <c r="FT61" s="50"/>
      <c r="FU61" s="50"/>
      <c r="FV61" s="50"/>
      <c r="FW61" s="50"/>
      <c r="FX61" s="50"/>
      <c r="FY61" s="50"/>
      <c r="FZ61" s="50"/>
      <c r="GA61" s="50"/>
      <c r="GB61" s="50"/>
      <c r="GC61" s="50"/>
      <c r="GD61" s="50"/>
      <c r="GE61" s="50"/>
      <c r="GF61" s="50"/>
      <c r="GG61" s="50"/>
      <c r="GH61" s="50"/>
      <c r="GI61" s="50"/>
      <c r="GJ61" s="50"/>
      <c r="GK61" s="50"/>
      <c r="GL61" s="50"/>
      <c r="GM61" s="50"/>
      <c r="GN61" s="50"/>
      <c r="GO61" s="50"/>
      <c r="GP61" s="50"/>
      <c r="GQ61" s="50"/>
      <c r="GR61" s="50"/>
      <c r="GS61" s="50"/>
      <c r="GT61" s="50"/>
      <c r="GU61" s="50"/>
      <c r="GV61" s="50"/>
      <c r="GW61" s="50"/>
      <c r="GX61" s="50"/>
      <c r="GY61" s="50"/>
      <c r="GZ61" s="50"/>
      <c r="HA61" s="50"/>
      <c r="HB61" s="50"/>
      <c r="HC61" s="50"/>
      <c r="HD61" s="50"/>
      <c r="HE61" s="50"/>
      <c r="HF61" s="50"/>
      <c r="HG61" s="50"/>
      <c r="HH61" s="50"/>
      <c r="HI61" s="50"/>
      <c r="HJ61" s="50"/>
      <c r="HK61" s="50"/>
      <c r="HL61" s="50"/>
      <c r="HM61" s="50"/>
      <c r="HN61" s="50"/>
      <c r="HO61" s="50"/>
      <c r="HP61" s="50"/>
      <c r="HQ61" s="50"/>
      <c r="HR61" s="50"/>
      <c r="HS61" s="50"/>
      <c r="HT61" s="50"/>
      <c r="HU61" s="50"/>
      <c r="HV61" s="50"/>
      <c r="HW61" s="50"/>
      <c r="HX61" s="50"/>
      <c r="HY61" s="50"/>
      <c r="HZ61" s="50"/>
      <c r="IA61" s="50"/>
      <c r="IB61" s="50"/>
      <c r="IC61" s="50"/>
      <c r="ID61" s="50"/>
      <c r="IE61" s="50"/>
      <c r="IF61" s="50"/>
      <c r="IG61" s="50"/>
      <c r="IH61" s="50"/>
      <c r="II61" s="50"/>
      <c r="IJ61" s="50"/>
      <c r="IK61" s="50"/>
      <c r="IL61" s="50"/>
      <c r="IM61" s="50"/>
      <c r="IN61" s="50"/>
      <c r="IO61" s="50"/>
      <c r="IP61" s="50"/>
      <c r="IQ61" s="50"/>
      <c r="IR61" s="50"/>
      <c r="IS61" s="50"/>
      <c r="IT61" s="50"/>
      <c r="IU61" s="50"/>
      <c r="IV61" s="50"/>
    </row>
    <row r="62" spans="1:256" ht="33.75" x14ac:dyDescent="0.35">
      <c r="A62" s="1403">
        <v>53</v>
      </c>
      <c r="B62" s="50"/>
      <c r="C62" s="19"/>
      <c r="D62" s="1684" t="s">
        <v>1028</v>
      </c>
      <c r="E62" s="1557">
        <v>494190</v>
      </c>
      <c r="F62" s="1410"/>
      <c r="G62" s="1410"/>
      <c r="H62" s="1410"/>
      <c r="I62" s="50"/>
      <c r="J62" s="50"/>
      <c r="K62" s="50"/>
      <c r="L62" s="50"/>
      <c r="M62" s="50"/>
      <c r="N62" s="50"/>
      <c r="O62" s="50"/>
      <c r="P62" s="50"/>
      <c r="Q62" s="50"/>
      <c r="R62" s="50"/>
      <c r="S62" s="50"/>
      <c r="T62" s="50"/>
      <c r="U62" s="50"/>
      <c r="V62" s="50"/>
      <c r="W62" s="50"/>
      <c r="X62" s="50"/>
      <c r="Y62" s="50"/>
      <c r="Z62" s="50"/>
      <c r="AA62" s="50"/>
      <c r="AB62" s="50"/>
      <c r="AC62" s="50"/>
      <c r="AD62" s="50"/>
      <c r="AE62" s="50"/>
      <c r="AF62" s="50"/>
      <c r="AG62" s="50"/>
      <c r="AH62" s="50"/>
      <c r="AI62" s="50"/>
      <c r="AJ62" s="50"/>
      <c r="AK62" s="50"/>
      <c r="AL62" s="50"/>
      <c r="AM62" s="50"/>
      <c r="AN62" s="50"/>
      <c r="AO62" s="50"/>
      <c r="AP62" s="50"/>
      <c r="AQ62" s="50"/>
      <c r="AR62" s="50"/>
      <c r="AS62" s="50"/>
      <c r="AT62" s="50"/>
      <c r="AU62" s="50"/>
      <c r="AV62" s="50"/>
      <c r="AW62" s="50"/>
      <c r="AX62" s="50"/>
      <c r="AY62" s="50"/>
      <c r="AZ62" s="50"/>
      <c r="BA62" s="50"/>
      <c r="BB62" s="50"/>
      <c r="BC62" s="50"/>
      <c r="BD62" s="50"/>
      <c r="BE62" s="50"/>
      <c r="BF62" s="50"/>
      <c r="BG62" s="50"/>
      <c r="BH62" s="50"/>
      <c r="BI62" s="50"/>
      <c r="BJ62" s="50"/>
      <c r="BK62" s="50"/>
      <c r="BL62" s="50"/>
      <c r="BM62" s="50"/>
      <c r="BN62" s="50"/>
      <c r="BO62" s="50"/>
      <c r="BP62" s="50"/>
      <c r="BQ62" s="50"/>
      <c r="BR62" s="50"/>
      <c r="BS62" s="50"/>
      <c r="BT62" s="50"/>
      <c r="BU62" s="50"/>
      <c r="BV62" s="50"/>
      <c r="BW62" s="50"/>
      <c r="BX62" s="50"/>
      <c r="BY62" s="50"/>
      <c r="BZ62" s="50"/>
      <c r="CA62" s="50"/>
      <c r="CB62" s="50"/>
      <c r="CC62" s="50"/>
      <c r="CD62" s="50"/>
      <c r="CE62" s="50"/>
      <c r="CF62" s="50"/>
      <c r="CG62" s="50"/>
      <c r="CH62" s="50"/>
      <c r="CI62" s="50"/>
      <c r="CJ62" s="50"/>
      <c r="CK62" s="50"/>
      <c r="CL62" s="50"/>
      <c r="CM62" s="50"/>
      <c r="CN62" s="50"/>
      <c r="CO62" s="50"/>
      <c r="CP62" s="50"/>
      <c r="CQ62" s="50"/>
      <c r="CR62" s="50"/>
      <c r="CS62" s="50"/>
      <c r="CT62" s="50"/>
      <c r="CU62" s="50"/>
      <c r="CV62" s="50"/>
      <c r="CW62" s="50"/>
      <c r="CX62" s="50"/>
      <c r="CY62" s="50"/>
      <c r="CZ62" s="50"/>
      <c r="DA62" s="50"/>
      <c r="DB62" s="50"/>
      <c r="DC62" s="50"/>
      <c r="DD62" s="50"/>
      <c r="DE62" s="50"/>
      <c r="DF62" s="50"/>
      <c r="DG62" s="50"/>
      <c r="DH62" s="50"/>
      <c r="DI62" s="50"/>
      <c r="DJ62" s="50"/>
      <c r="DK62" s="50"/>
      <c r="DL62" s="50"/>
      <c r="DM62" s="50"/>
      <c r="DN62" s="50"/>
      <c r="DO62" s="50"/>
      <c r="DP62" s="50"/>
      <c r="DQ62" s="50"/>
      <c r="DR62" s="50"/>
      <c r="DS62" s="50"/>
      <c r="DT62" s="50"/>
      <c r="DU62" s="50"/>
      <c r="DV62" s="50"/>
      <c r="DW62" s="50"/>
      <c r="DX62" s="50"/>
      <c r="DY62" s="50"/>
      <c r="DZ62" s="50"/>
      <c r="EA62" s="50"/>
      <c r="EB62" s="50"/>
      <c r="EC62" s="50"/>
      <c r="ED62" s="50"/>
      <c r="EE62" s="50"/>
      <c r="EF62" s="50"/>
      <c r="EG62" s="50"/>
      <c r="EH62" s="50"/>
      <c r="EI62" s="50"/>
      <c r="EJ62" s="50"/>
      <c r="EK62" s="50"/>
      <c r="EL62" s="50"/>
      <c r="EM62" s="50"/>
      <c r="EN62" s="50"/>
      <c r="EO62" s="50"/>
      <c r="EP62" s="50"/>
      <c r="EQ62" s="50"/>
      <c r="ER62" s="50"/>
      <c r="ES62" s="50"/>
      <c r="ET62" s="50"/>
      <c r="EU62" s="50"/>
      <c r="EV62" s="50"/>
      <c r="EW62" s="50"/>
      <c r="EX62" s="50"/>
      <c r="EY62" s="50"/>
      <c r="EZ62" s="50"/>
      <c r="FA62" s="50"/>
      <c r="FB62" s="50"/>
      <c r="FC62" s="50"/>
      <c r="FD62" s="50"/>
      <c r="FE62" s="50"/>
      <c r="FF62" s="50"/>
      <c r="FG62" s="50"/>
      <c r="FH62" s="50"/>
      <c r="FI62" s="50"/>
      <c r="FJ62" s="50"/>
      <c r="FK62" s="50"/>
      <c r="FL62" s="50"/>
      <c r="FM62" s="50"/>
      <c r="FN62" s="50"/>
      <c r="FO62" s="50"/>
      <c r="FP62" s="50"/>
      <c r="FQ62" s="50"/>
      <c r="FR62" s="50"/>
      <c r="FS62" s="50"/>
      <c r="FT62" s="50"/>
      <c r="FU62" s="50"/>
      <c r="FV62" s="50"/>
      <c r="FW62" s="50"/>
      <c r="FX62" s="50"/>
      <c r="FY62" s="50"/>
      <c r="FZ62" s="50"/>
      <c r="GA62" s="50"/>
      <c r="GB62" s="50"/>
      <c r="GC62" s="50"/>
      <c r="GD62" s="50"/>
      <c r="GE62" s="50"/>
      <c r="GF62" s="50"/>
      <c r="GG62" s="50"/>
      <c r="GH62" s="50"/>
      <c r="GI62" s="50"/>
      <c r="GJ62" s="50"/>
      <c r="GK62" s="50"/>
      <c r="GL62" s="50"/>
      <c r="GM62" s="50"/>
      <c r="GN62" s="50"/>
      <c r="GO62" s="50"/>
      <c r="GP62" s="50"/>
      <c r="GQ62" s="50"/>
      <c r="GR62" s="50"/>
      <c r="GS62" s="50"/>
      <c r="GT62" s="50"/>
      <c r="GU62" s="50"/>
      <c r="GV62" s="50"/>
      <c r="GW62" s="50"/>
      <c r="GX62" s="50"/>
      <c r="GY62" s="50"/>
      <c r="GZ62" s="50"/>
      <c r="HA62" s="50"/>
      <c r="HB62" s="50"/>
      <c r="HC62" s="50"/>
      <c r="HD62" s="50"/>
      <c r="HE62" s="50"/>
      <c r="HF62" s="50"/>
      <c r="HG62" s="50"/>
      <c r="HH62" s="50"/>
      <c r="HI62" s="50"/>
      <c r="HJ62" s="50"/>
      <c r="HK62" s="50"/>
      <c r="HL62" s="50"/>
      <c r="HM62" s="50"/>
      <c r="HN62" s="50"/>
      <c r="HO62" s="50"/>
      <c r="HP62" s="50"/>
      <c r="HQ62" s="50"/>
      <c r="HR62" s="50"/>
      <c r="HS62" s="50"/>
      <c r="HT62" s="50"/>
      <c r="HU62" s="50"/>
      <c r="HV62" s="50"/>
      <c r="HW62" s="50"/>
      <c r="HX62" s="50"/>
      <c r="HY62" s="50"/>
      <c r="HZ62" s="50"/>
      <c r="IA62" s="50"/>
      <c r="IB62" s="50"/>
      <c r="IC62" s="50"/>
      <c r="ID62" s="50"/>
      <c r="IE62" s="50"/>
      <c r="IF62" s="50"/>
      <c r="IG62" s="50"/>
      <c r="IH62" s="50"/>
      <c r="II62" s="50"/>
      <c r="IJ62" s="50"/>
      <c r="IK62" s="50"/>
      <c r="IL62" s="50"/>
      <c r="IM62" s="50"/>
      <c r="IN62" s="50"/>
      <c r="IO62" s="50"/>
      <c r="IP62" s="50"/>
      <c r="IQ62" s="50"/>
      <c r="IR62" s="50"/>
      <c r="IS62" s="50"/>
      <c r="IT62" s="50"/>
      <c r="IU62" s="50"/>
      <c r="IV62" s="50"/>
    </row>
    <row r="63" spans="1:256" ht="50.25" x14ac:dyDescent="0.35">
      <c r="A63" s="1403">
        <v>54</v>
      </c>
      <c r="B63" s="50"/>
      <c r="C63" s="19"/>
      <c r="D63" s="1684" t="s">
        <v>1030</v>
      </c>
      <c r="E63" s="1558">
        <v>291361</v>
      </c>
      <c r="F63" s="1410"/>
      <c r="G63" s="1410"/>
      <c r="H63" s="1410"/>
      <c r="I63" s="50"/>
      <c r="J63" s="50"/>
      <c r="K63" s="50"/>
      <c r="L63" s="50"/>
      <c r="M63" s="50"/>
      <c r="N63" s="50"/>
      <c r="O63" s="50"/>
      <c r="P63" s="50"/>
      <c r="Q63" s="50"/>
      <c r="R63" s="50"/>
      <c r="S63" s="50"/>
      <c r="T63" s="50"/>
      <c r="U63" s="50"/>
      <c r="V63" s="50"/>
      <c r="W63" s="50"/>
      <c r="X63" s="50"/>
      <c r="Y63" s="50"/>
      <c r="Z63" s="50"/>
      <c r="AA63" s="50"/>
      <c r="AB63" s="50"/>
      <c r="AC63" s="50"/>
      <c r="AD63" s="50"/>
      <c r="AE63" s="50"/>
      <c r="AF63" s="50"/>
      <c r="AG63" s="50"/>
      <c r="AH63" s="50"/>
      <c r="AI63" s="50"/>
      <c r="AJ63" s="50"/>
      <c r="AK63" s="50"/>
      <c r="AL63" s="50"/>
      <c r="AM63" s="50"/>
      <c r="AN63" s="50"/>
      <c r="AO63" s="50"/>
      <c r="AP63" s="50"/>
      <c r="AQ63" s="50"/>
      <c r="AR63" s="50"/>
      <c r="AS63" s="50"/>
      <c r="AT63" s="50"/>
      <c r="AU63" s="50"/>
      <c r="AV63" s="50"/>
      <c r="AW63" s="50"/>
      <c r="AX63" s="50"/>
      <c r="AY63" s="50"/>
      <c r="AZ63" s="50"/>
      <c r="BA63" s="50"/>
      <c r="BB63" s="50"/>
      <c r="BC63" s="50"/>
      <c r="BD63" s="50"/>
      <c r="BE63" s="50"/>
      <c r="BF63" s="50"/>
      <c r="BG63" s="50"/>
      <c r="BH63" s="50"/>
      <c r="BI63" s="50"/>
      <c r="BJ63" s="50"/>
      <c r="BK63" s="50"/>
      <c r="BL63" s="50"/>
      <c r="BM63" s="50"/>
      <c r="BN63" s="50"/>
      <c r="BO63" s="50"/>
      <c r="BP63" s="50"/>
      <c r="BQ63" s="50"/>
      <c r="BR63" s="50"/>
      <c r="BS63" s="50"/>
      <c r="BT63" s="50"/>
      <c r="BU63" s="50"/>
      <c r="BV63" s="50"/>
      <c r="BW63" s="50"/>
      <c r="BX63" s="50"/>
      <c r="BY63" s="50"/>
      <c r="BZ63" s="50"/>
      <c r="CA63" s="50"/>
      <c r="CB63" s="50"/>
      <c r="CC63" s="50"/>
      <c r="CD63" s="50"/>
      <c r="CE63" s="50"/>
      <c r="CF63" s="50"/>
      <c r="CG63" s="50"/>
      <c r="CH63" s="50"/>
      <c r="CI63" s="50"/>
      <c r="CJ63" s="50"/>
      <c r="CK63" s="50"/>
      <c r="CL63" s="50"/>
      <c r="CM63" s="50"/>
      <c r="CN63" s="50"/>
      <c r="CO63" s="50"/>
      <c r="CP63" s="50"/>
      <c r="CQ63" s="50"/>
      <c r="CR63" s="50"/>
      <c r="CS63" s="50"/>
      <c r="CT63" s="50"/>
      <c r="CU63" s="50"/>
      <c r="CV63" s="50"/>
      <c r="CW63" s="50"/>
      <c r="CX63" s="50"/>
      <c r="CY63" s="50"/>
      <c r="CZ63" s="50"/>
      <c r="DA63" s="50"/>
      <c r="DB63" s="50"/>
      <c r="DC63" s="50"/>
      <c r="DD63" s="50"/>
      <c r="DE63" s="50"/>
      <c r="DF63" s="50"/>
      <c r="DG63" s="50"/>
      <c r="DH63" s="50"/>
      <c r="DI63" s="50"/>
      <c r="DJ63" s="50"/>
      <c r="DK63" s="50"/>
      <c r="DL63" s="50"/>
      <c r="DM63" s="50"/>
      <c r="DN63" s="50"/>
      <c r="DO63" s="50"/>
      <c r="DP63" s="50"/>
      <c r="DQ63" s="50"/>
      <c r="DR63" s="50"/>
      <c r="DS63" s="50"/>
      <c r="DT63" s="50"/>
      <c r="DU63" s="50"/>
      <c r="DV63" s="50"/>
      <c r="DW63" s="50"/>
      <c r="DX63" s="50"/>
      <c r="DY63" s="50"/>
      <c r="DZ63" s="50"/>
      <c r="EA63" s="50"/>
      <c r="EB63" s="50"/>
      <c r="EC63" s="50"/>
      <c r="ED63" s="50"/>
      <c r="EE63" s="50"/>
      <c r="EF63" s="50"/>
      <c r="EG63" s="50"/>
      <c r="EH63" s="50"/>
      <c r="EI63" s="50"/>
      <c r="EJ63" s="50"/>
      <c r="EK63" s="50"/>
      <c r="EL63" s="50"/>
      <c r="EM63" s="50"/>
      <c r="EN63" s="50"/>
      <c r="EO63" s="50"/>
      <c r="EP63" s="50"/>
      <c r="EQ63" s="50"/>
      <c r="ER63" s="50"/>
      <c r="ES63" s="50"/>
      <c r="ET63" s="50"/>
      <c r="EU63" s="50"/>
      <c r="EV63" s="50"/>
      <c r="EW63" s="50"/>
      <c r="EX63" s="50"/>
      <c r="EY63" s="50"/>
      <c r="EZ63" s="50"/>
      <c r="FA63" s="50"/>
      <c r="FB63" s="50"/>
      <c r="FC63" s="50"/>
      <c r="FD63" s="50"/>
      <c r="FE63" s="50"/>
      <c r="FF63" s="50"/>
      <c r="FG63" s="50"/>
      <c r="FH63" s="50"/>
      <c r="FI63" s="50"/>
      <c r="FJ63" s="50"/>
      <c r="FK63" s="50"/>
      <c r="FL63" s="50"/>
      <c r="FM63" s="50"/>
      <c r="FN63" s="50"/>
      <c r="FO63" s="50"/>
      <c r="FP63" s="50"/>
      <c r="FQ63" s="50"/>
      <c r="FR63" s="50"/>
      <c r="FS63" s="50"/>
      <c r="FT63" s="50"/>
      <c r="FU63" s="50"/>
      <c r="FV63" s="50"/>
      <c r="FW63" s="50"/>
      <c r="FX63" s="50"/>
      <c r="FY63" s="50"/>
      <c r="FZ63" s="50"/>
      <c r="GA63" s="50"/>
      <c r="GB63" s="50"/>
      <c r="GC63" s="50"/>
      <c r="GD63" s="50"/>
      <c r="GE63" s="50"/>
      <c r="GF63" s="50"/>
      <c r="GG63" s="50"/>
      <c r="GH63" s="50"/>
      <c r="GI63" s="50"/>
      <c r="GJ63" s="50"/>
      <c r="GK63" s="50"/>
      <c r="GL63" s="50"/>
      <c r="GM63" s="50"/>
      <c r="GN63" s="50"/>
      <c r="GO63" s="50"/>
      <c r="GP63" s="50"/>
      <c r="GQ63" s="50"/>
      <c r="GR63" s="50"/>
      <c r="GS63" s="50"/>
      <c r="GT63" s="50"/>
      <c r="GU63" s="50"/>
      <c r="GV63" s="50"/>
      <c r="GW63" s="50"/>
      <c r="GX63" s="50"/>
      <c r="GY63" s="50"/>
      <c r="GZ63" s="50"/>
      <c r="HA63" s="50"/>
      <c r="HB63" s="50"/>
      <c r="HC63" s="50"/>
      <c r="HD63" s="50"/>
      <c r="HE63" s="50"/>
      <c r="HF63" s="50"/>
      <c r="HG63" s="50"/>
      <c r="HH63" s="50"/>
      <c r="HI63" s="50"/>
      <c r="HJ63" s="50"/>
      <c r="HK63" s="50"/>
      <c r="HL63" s="50"/>
      <c r="HM63" s="50"/>
      <c r="HN63" s="50"/>
      <c r="HO63" s="50"/>
      <c r="HP63" s="50"/>
      <c r="HQ63" s="50"/>
      <c r="HR63" s="50"/>
      <c r="HS63" s="50"/>
      <c r="HT63" s="50"/>
      <c r="HU63" s="50"/>
      <c r="HV63" s="50"/>
      <c r="HW63" s="50"/>
      <c r="HX63" s="50"/>
      <c r="HY63" s="50"/>
      <c r="HZ63" s="50"/>
      <c r="IA63" s="50"/>
      <c r="IB63" s="50"/>
      <c r="IC63" s="50"/>
      <c r="ID63" s="50"/>
      <c r="IE63" s="50"/>
      <c r="IF63" s="50"/>
      <c r="IG63" s="50"/>
      <c r="IH63" s="50"/>
      <c r="II63" s="50"/>
      <c r="IJ63" s="50"/>
      <c r="IK63" s="50"/>
      <c r="IL63" s="50"/>
      <c r="IM63" s="50"/>
      <c r="IN63" s="50"/>
      <c r="IO63" s="50"/>
      <c r="IP63" s="50"/>
      <c r="IQ63" s="50"/>
      <c r="IR63" s="50"/>
      <c r="IS63" s="50"/>
      <c r="IT63" s="50"/>
      <c r="IU63" s="50"/>
      <c r="IV63" s="50"/>
    </row>
    <row r="64" spans="1:256" ht="17.25" x14ac:dyDescent="0.35">
      <c r="A64" s="1403">
        <v>55</v>
      </c>
      <c r="B64" s="50"/>
      <c r="C64" s="19"/>
      <c r="D64" s="1549" t="s">
        <v>101</v>
      </c>
      <c r="E64" s="1555">
        <f>SUM(E54:E63)</f>
        <v>3818852</v>
      </c>
      <c r="F64" s="1410"/>
      <c r="G64" s="1410"/>
      <c r="H64" s="1410"/>
      <c r="I64" s="50"/>
      <c r="J64" s="50"/>
      <c r="K64" s="50"/>
      <c r="L64" s="50"/>
      <c r="M64" s="50"/>
      <c r="N64" s="50"/>
      <c r="O64" s="50"/>
      <c r="P64" s="50"/>
      <c r="Q64" s="50"/>
      <c r="R64" s="50"/>
      <c r="S64" s="50"/>
      <c r="T64" s="50"/>
      <c r="U64" s="50"/>
      <c r="V64" s="50"/>
      <c r="W64" s="50"/>
      <c r="X64" s="50"/>
      <c r="Y64" s="50"/>
      <c r="Z64" s="50"/>
      <c r="AA64" s="50"/>
      <c r="AB64" s="50"/>
      <c r="AC64" s="50"/>
      <c r="AD64" s="50"/>
      <c r="AE64" s="50"/>
      <c r="AF64" s="50"/>
      <c r="AG64" s="50"/>
      <c r="AH64" s="50"/>
      <c r="AI64" s="50"/>
      <c r="AJ64" s="50"/>
      <c r="AK64" s="50"/>
      <c r="AL64" s="50"/>
      <c r="AM64" s="50"/>
      <c r="AN64" s="50"/>
      <c r="AO64" s="50"/>
      <c r="AP64" s="50"/>
      <c r="AQ64" s="50"/>
      <c r="AR64" s="50"/>
      <c r="AS64" s="50"/>
      <c r="AT64" s="50"/>
      <c r="AU64" s="50"/>
      <c r="AV64" s="50"/>
      <c r="AW64" s="50"/>
      <c r="AX64" s="50"/>
      <c r="AY64" s="50"/>
      <c r="AZ64" s="50"/>
      <c r="BA64" s="50"/>
      <c r="BB64" s="50"/>
      <c r="BC64" s="50"/>
      <c r="BD64" s="50"/>
      <c r="BE64" s="50"/>
      <c r="BF64" s="50"/>
      <c r="BG64" s="50"/>
      <c r="BH64" s="50"/>
      <c r="BI64" s="50"/>
      <c r="BJ64" s="50"/>
      <c r="BK64" s="50"/>
      <c r="BL64" s="50"/>
      <c r="BM64" s="50"/>
      <c r="BN64" s="50"/>
      <c r="BO64" s="50"/>
      <c r="BP64" s="50"/>
      <c r="BQ64" s="50"/>
      <c r="BR64" s="50"/>
      <c r="BS64" s="50"/>
      <c r="BT64" s="50"/>
      <c r="BU64" s="50"/>
      <c r="BV64" s="50"/>
      <c r="BW64" s="50"/>
      <c r="BX64" s="50"/>
      <c r="BY64" s="50"/>
      <c r="BZ64" s="50"/>
      <c r="CA64" s="50"/>
      <c r="CB64" s="50"/>
      <c r="CC64" s="50"/>
      <c r="CD64" s="50"/>
      <c r="CE64" s="50"/>
      <c r="CF64" s="50"/>
      <c r="CG64" s="50"/>
      <c r="CH64" s="50"/>
      <c r="CI64" s="50"/>
      <c r="CJ64" s="50"/>
      <c r="CK64" s="50"/>
      <c r="CL64" s="50"/>
      <c r="CM64" s="50"/>
      <c r="CN64" s="50"/>
      <c r="CO64" s="50"/>
      <c r="CP64" s="50"/>
      <c r="CQ64" s="50"/>
      <c r="CR64" s="50"/>
      <c r="CS64" s="50"/>
      <c r="CT64" s="50"/>
      <c r="CU64" s="50"/>
      <c r="CV64" s="50"/>
      <c r="CW64" s="50"/>
      <c r="CX64" s="50"/>
      <c r="CY64" s="50"/>
      <c r="CZ64" s="50"/>
      <c r="DA64" s="50"/>
      <c r="DB64" s="50"/>
      <c r="DC64" s="50"/>
      <c r="DD64" s="50"/>
      <c r="DE64" s="50"/>
      <c r="DF64" s="50"/>
      <c r="DG64" s="50"/>
      <c r="DH64" s="50"/>
      <c r="DI64" s="50"/>
      <c r="DJ64" s="50"/>
      <c r="DK64" s="50"/>
      <c r="DL64" s="50"/>
      <c r="DM64" s="50"/>
      <c r="DN64" s="50"/>
      <c r="DO64" s="50"/>
      <c r="DP64" s="50"/>
      <c r="DQ64" s="50"/>
      <c r="DR64" s="50"/>
      <c r="DS64" s="50"/>
      <c r="DT64" s="50"/>
      <c r="DU64" s="50"/>
      <c r="DV64" s="50"/>
      <c r="DW64" s="50"/>
      <c r="DX64" s="50"/>
      <c r="DY64" s="50"/>
      <c r="DZ64" s="50"/>
      <c r="EA64" s="50"/>
      <c r="EB64" s="50"/>
      <c r="EC64" s="50"/>
      <c r="ED64" s="50"/>
      <c r="EE64" s="50"/>
      <c r="EF64" s="50"/>
      <c r="EG64" s="50"/>
      <c r="EH64" s="50"/>
      <c r="EI64" s="50"/>
      <c r="EJ64" s="50"/>
      <c r="EK64" s="50"/>
      <c r="EL64" s="50"/>
      <c r="EM64" s="50"/>
      <c r="EN64" s="50"/>
      <c r="EO64" s="50"/>
      <c r="EP64" s="50"/>
      <c r="EQ64" s="50"/>
      <c r="ER64" s="50"/>
      <c r="ES64" s="50"/>
      <c r="ET64" s="50"/>
      <c r="EU64" s="50"/>
      <c r="EV64" s="50"/>
      <c r="EW64" s="50"/>
      <c r="EX64" s="50"/>
      <c r="EY64" s="50"/>
      <c r="EZ64" s="50"/>
      <c r="FA64" s="50"/>
      <c r="FB64" s="50"/>
      <c r="FC64" s="50"/>
      <c r="FD64" s="50"/>
      <c r="FE64" s="50"/>
      <c r="FF64" s="50"/>
      <c r="FG64" s="50"/>
      <c r="FH64" s="50"/>
      <c r="FI64" s="50"/>
      <c r="FJ64" s="50"/>
      <c r="FK64" s="50"/>
      <c r="FL64" s="50"/>
      <c r="FM64" s="50"/>
      <c r="FN64" s="50"/>
      <c r="FO64" s="50"/>
      <c r="FP64" s="50"/>
      <c r="FQ64" s="50"/>
      <c r="FR64" s="50"/>
      <c r="FS64" s="50"/>
      <c r="FT64" s="50"/>
      <c r="FU64" s="50"/>
      <c r="FV64" s="50"/>
      <c r="FW64" s="50"/>
      <c r="FX64" s="50"/>
      <c r="FY64" s="50"/>
      <c r="FZ64" s="50"/>
      <c r="GA64" s="50"/>
      <c r="GB64" s="50"/>
      <c r="GC64" s="50"/>
      <c r="GD64" s="50"/>
      <c r="GE64" s="50"/>
      <c r="GF64" s="50"/>
      <c r="GG64" s="50"/>
      <c r="GH64" s="50"/>
      <c r="GI64" s="50"/>
      <c r="GJ64" s="50"/>
      <c r="GK64" s="50"/>
      <c r="GL64" s="50"/>
      <c r="GM64" s="50"/>
      <c r="GN64" s="50"/>
      <c r="GO64" s="50"/>
      <c r="GP64" s="50"/>
      <c r="GQ64" s="50"/>
      <c r="GR64" s="50"/>
      <c r="GS64" s="50"/>
      <c r="GT64" s="50"/>
      <c r="GU64" s="50"/>
      <c r="GV64" s="50"/>
      <c r="GW64" s="50"/>
      <c r="GX64" s="50"/>
      <c r="GY64" s="50"/>
      <c r="GZ64" s="50"/>
      <c r="HA64" s="50"/>
      <c r="HB64" s="50"/>
      <c r="HC64" s="50"/>
      <c r="HD64" s="50"/>
      <c r="HE64" s="50"/>
      <c r="HF64" s="50"/>
      <c r="HG64" s="50"/>
      <c r="HH64" s="50"/>
      <c r="HI64" s="50"/>
      <c r="HJ64" s="50"/>
      <c r="HK64" s="50"/>
      <c r="HL64" s="50"/>
      <c r="HM64" s="50"/>
      <c r="HN64" s="50"/>
      <c r="HO64" s="50"/>
      <c r="HP64" s="50"/>
      <c r="HQ64" s="50"/>
      <c r="HR64" s="50"/>
      <c r="HS64" s="50"/>
      <c r="HT64" s="50"/>
      <c r="HU64" s="50"/>
      <c r="HV64" s="50"/>
      <c r="HW64" s="50"/>
      <c r="HX64" s="50"/>
      <c r="HY64" s="50"/>
      <c r="HZ64" s="50"/>
      <c r="IA64" s="50"/>
      <c r="IB64" s="50"/>
      <c r="IC64" s="50"/>
      <c r="ID64" s="50"/>
      <c r="IE64" s="50"/>
      <c r="IF64" s="50"/>
      <c r="IG64" s="50"/>
      <c r="IH64" s="50"/>
      <c r="II64" s="50"/>
      <c r="IJ64" s="50"/>
      <c r="IK64" s="50"/>
      <c r="IL64" s="50"/>
      <c r="IM64" s="50"/>
      <c r="IN64" s="50"/>
      <c r="IO64" s="50"/>
      <c r="IP64" s="50"/>
      <c r="IQ64" s="50"/>
      <c r="IR64" s="50"/>
      <c r="IS64" s="50"/>
      <c r="IT64" s="50"/>
      <c r="IU64" s="50"/>
      <c r="IV64" s="50"/>
    </row>
    <row r="65" spans="1:256" ht="24.75" customHeight="1" x14ac:dyDescent="0.35">
      <c r="A65" s="1403">
        <v>56</v>
      </c>
      <c r="B65" s="50"/>
      <c r="C65" s="1407" t="s">
        <v>845</v>
      </c>
      <c r="D65" s="962" t="s">
        <v>1084</v>
      </c>
      <c r="E65" s="1555"/>
      <c r="F65" s="1410"/>
      <c r="G65" s="1410"/>
      <c r="H65" s="1410"/>
      <c r="I65" s="50"/>
      <c r="J65" s="50"/>
      <c r="K65" s="50"/>
      <c r="L65" s="50"/>
      <c r="M65" s="50"/>
      <c r="N65" s="50"/>
      <c r="O65" s="50"/>
      <c r="P65" s="50"/>
      <c r="Q65" s="50"/>
      <c r="R65" s="50"/>
      <c r="S65" s="50"/>
      <c r="T65" s="50"/>
      <c r="U65" s="50"/>
      <c r="V65" s="50"/>
      <c r="W65" s="50"/>
      <c r="X65" s="50"/>
      <c r="Y65" s="50"/>
      <c r="Z65" s="50"/>
      <c r="AA65" s="50"/>
      <c r="AB65" s="50"/>
      <c r="AC65" s="50"/>
      <c r="AD65" s="50"/>
      <c r="AE65" s="50"/>
      <c r="AF65" s="50"/>
      <c r="AG65" s="50"/>
      <c r="AH65" s="50"/>
      <c r="AI65" s="50"/>
      <c r="AJ65" s="50"/>
      <c r="AK65" s="50"/>
      <c r="AL65" s="50"/>
      <c r="AM65" s="50"/>
      <c r="AN65" s="50"/>
      <c r="AO65" s="50"/>
      <c r="AP65" s="50"/>
      <c r="AQ65" s="50"/>
      <c r="AR65" s="50"/>
      <c r="AS65" s="50"/>
      <c r="AT65" s="50"/>
      <c r="AU65" s="50"/>
      <c r="AV65" s="50"/>
      <c r="AW65" s="50"/>
      <c r="AX65" s="50"/>
      <c r="AY65" s="50"/>
      <c r="AZ65" s="50"/>
      <c r="BA65" s="50"/>
      <c r="BB65" s="50"/>
      <c r="BC65" s="50"/>
      <c r="BD65" s="50"/>
      <c r="BE65" s="50"/>
      <c r="BF65" s="50"/>
      <c r="BG65" s="50"/>
      <c r="BH65" s="50"/>
      <c r="BI65" s="50"/>
      <c r="BJ65" s="50"/>
      <c r="BK65" s="50"/>
      <c r="BL65" s="50"/>
      <c r="BM65" s="50"/>
      <c r="BN65" s="50"/>
      <c r="BO65" s="50"/>
      <c r="BP65" s="50"/>
      <c r="BQ65" s="50"/>
      <c r="BR65" s="50"/>
      <c r="BS65" s="50"/>
      <c r="BT65" s="50"/>
      <c r="BU65" s="50"/>
      <c r="BV65" s="50"/>
      <c r="BW65" s="50"/>
      <c r="BX65" s="50"/>
      <c r="BY65" s="50"/>
      <c r="BZ65" s="50"/>
      <c r="CA65" s="50"/>
      <c r="CB65" s="50"/>
      <c r="CC65" s="50"/>
      <c r="CD65" s="50"/>
      <c r="CE65" s="50"/>
      <c r="CF65" s="50"/>
      <c r="CG65" s="50"/>
      <c r="CH65" s="50"/>
      <c r="CI65" s="50"/>
      <c r="CJ65" s="50"/>
      <c r="CK65" s="50"/>
      <c r="CL65" s="50"/>
      <c r="CM65" s="50"/>
      <c r="CN65" s="50"/>
      <c r="CO65" s="50"/>
      <c r="CP65" s="50"/>
      <c r="CQ65" s="50"/>
      <c r="CR65" s="50"/>
      <c r="CS65" s="50"/>
      <c r="CT65" s="50"/>
      <c r="CU65" s="50"/>
      <c r="CV65" s="50"/>
      <c r="CW65" s="50"/>
      <c r="CX65" s="50"/>
      <c r="CY65" s="50"/>
      <c r="CZ65" s="50"/>
      <c r="DA65" s="50"/>
      <c r="DB65" s="50"/>
      <c r="DC65" s="50"/>
      <c r="DD65" s="50"/>
      <c r="DE65" s="50"/>
      <c r="DF65" s="50"/>
      <c r="DG65" s="50"/>
      <c r="DH65" s="50"/>
      <c r="DI65" s="50"/>
      <c r="DJ65" s="50"/>
      <c r="DK65" s="50"/>
      <c r="DL65" s="50"/>
      <c r="DM65" s="50"/>
      <c r="DN65" s="50"/>
      <c r="DO65" s="50"/>
      <c r="DP65" s="50"/>
      <c r="DQ65" s="50"/>
      <c r="DR65" s="50"/>
      <c r="DS65" s="50"/>
      <c r="DT65" s="50"/>
      <c r="DU65" s="50"/>
      <c r="DV65" s="50"/>
      <c r="DW65" s="50"/>
      <c r="DX65" s="50"/>
      <c r="DY65" s="50"/>
      <c r="DZ65" s="50"/>
      <c r="EA65" s="50"/>
      <c r="EB65" s="50"/>
      <c r="EC65" s="50"/>
      <c r="ED65" s="50"/>
      <c r="EE65" s="50"/>
      <c r="EF65" s="50"/>
      <c r="EG65" s="50"/>
      <c r="EH65" s="50"/>
      <c r="EI65" s="50"/>
      <c r="EJ65" s="50"/>
      <c r="EK65" s="50"/>
      <c r="EL65" s="50"/>
      <c r="EM65" s="50"/>
      <c r="EN65" s="50"/>
      <c r="EO65" s="50"/>
      <c r="EP65" s="50"/>
      <c r="EQ65" s="50"/>
      <c r="ER65" s="50"/>
      <c r="ES65" s="50"/>
      <c r="ET65" s="50"/>
      <c r="EU65" s="50"/>
      <c r="EV65" s="50"/>
      <c r="EW65" s="50"/>
      <c r="EX65" s="50"/>
      <c r="EY65" s="50"/>
      <c r="EZ65" s="50"/>
      <c r="FA65" s="50"/>
      <c r="FB65" s="50"/>
      <c r="FC65" s="50"/>
      <c r="FD65" s="50"/>
      <c r="FE65" s="50"/>
      <c r="FF65" s="50"/>
      <c r="FG65" s="50"/>
      <c r="FH65" s="50"/>
      <c r="FI65" s="50"/>
      <c r="FJ65" s="50"/>
      <c r="FK65" s="50"/>
      <c r="FL65" s="50"/>
      <c r="FM65" s="50"/>
      <c r="FN65" s="50"/>
      <c r="FO65" s="50"/>
      <c r="FP65" s="50"/>
      <c r="FQ65" s="50"/>
      <c r="FR65" s="50"/>
      <c r="FS65" s="50"/>
      <c r="FT65" s="50"/>
      <c r="FU65" s="50"/>
      <c r="FV65" s="50"/>
      <c r="FW65" s="50"/>
      <c r="FX65" s="50"/>
      <c r="FY65" s="50"/>
      <c r="FZ65" s="50"/>
      <c r="GA65" s="50"/>
      <c r="GB65" s="50"/>
      <c r="GC65" s="50"/>
      <c r="GD65" s="50"/>
      <c r="GE65" s="50"/>
      <c r="GF65" s="50"/>
      <c r="GG65" s="50"/>
      <c r="GH65" s="50"/>
      <c r="GI65" s="50"/>
      <c r="GJ65" s="50"/>
      <c r="GK65" s="50"/>
      <c r="GL65" s="50"/>
      <c r="GM65" s="50"/>
      <c r="GN65" s="50"/>
      <c r="GO65" s="50"/>
      <c r="GP65" s="50"/>
      <c r="GQ65" s="50"/>
      <c r="GR65" s="50"/>
      <c r="GS65" s="50"/>
      <c r="GT65" s="50"/>
      <c r="GU65" s="50"/>
      <c r="GV65" s="50"/>
      <c r="GW65" s="50"/>
      <c r="GX65" s="50"/>
      <c r="GY65" s="50"/>
      <c r="GZ65" s="50"/>
      <c r="HA65" s="50"/>
      <c r="HB65" s="50"/>
      <c r="HC65" s="50"/>
      <c r="HD65" s="50"/>
      <c r="HE65" s="50"/>
      <c r="HF65" s="50"/>
      <c r="HG65" s="50"/>
      <c r="HH65" s="50"/>
      <c r="HI65" s="50"/>
      <c r="HJ65" s="50"/>
      <c r="HK65" s="50"/>
      <c r="HL65" s="50"/>
      <c r="HM65" s="50"/>
      <c r="HN65" s="50"/>
      <c r="HO65" s="50"/>
      <c r="HP65" s="50"/>
      <c r="HQ65" s="50"/>
      <c r="HR65" s="50"/>
      <c r="HS65" s="50"/>
      <c r="HT65" s="50"/>
      <c r="HU65" s="50"/>
      <c r="HV65" s="50"/>
      <c r="HW65" s="50"/>
      <c r="HX65" s="50"/>
      <c r="HY65" s="50"/>
      <c r="HZ65" s="50"/>
      <c r="IA65" s="50"/>
      <c r="IB65" s="50"/>
      <c r="IC65" s="50"/>
      <c r="ID65" s="50"/>
      <c r="IE65" s="50"/>
      <c r="IF65" s="50"/>
      <c r="IG65" s="50"/>
      <c r="IH65" s="50"/>
      <c r="II65" s="50"/>
      <c r="IJ65" s="50"/>
      <c r="IK65" s="50"/>
      <c r="IL65" s="50"/>
      <c r="IM65" s="50"/>
      <c r="IN65" s="50"/>
      <c r="IO65" s="50"/>
      <c r="IP65" s="50"/>
      <c r="IQ65" s="50"/>
      <c r="IR65" s="50"/>
      <c r="IS65" s="50"/>
      <c r="IT65" s="50"/>
      <c r="IU65" s="50"/>
      <c r="IV65" s="50"/>
    </row>
    <row r="66" spans="1:256" ht="33.75" x14ac:dyDescent="0.35">
      <c r="A66" s="1403">
        <v>57</v>
      </c>
      <c r="B66" s="50"/>
      <c r="C66" s="19"/>
      <c r="D66" s="569" t="s">
        <v>1087</v>
      </c>
      <c r="E66" s="1555">
        <v>5000</v>
      </c>
      <c r="F66" s="1410"/>
      <c r="G66" s="1410"/>
      <c r="H66" s="1410"/>
      <c r="I66" s="50"/>
      <c r="J66" s="50"/>
      <c r="K66" s="50"/>
      <c r="L66" s="50"/>
      <c r="M66" s="50"/>
      <c r="N66" s="50"/>
      <c r="O66" s="50"/>
      <c r="P66" s="50"/>
      <c r="Q66" s="50"/>
      <c r="R66" s="50"/>
      <c r="S66" s="50"/>
      <c r="T66" s="50"/>
      <c r="U66" s="50"/>
      <c r="V66" s="50"/>
      <c r="W66" s="50"/>
      <c r="X66" s="50"/>
      <c r="Y66" s="50"/>
      <c r="Z66" s="50"/>
      <c r="AA66" s="50"/>
      <c r="AB66" s="50"/>
      <c r="AC66" s="50"/>
      <c r="AD66" s="50"/>
      <c r="AE66" s="50"/>
      <c r="AF66" s="50"/>
      <c r="AG66" s="50"/>
      <c r="AH66" s="50"/>
      <c r="AI66" s="50"/>
      <c r="AJ66" s="50"/>
      <c r="AK66" s="50"/>
      <c r="AL66" s="50"/>
      <c r="AM66" s="50"/>
      <c r="AN66" s="50"/>
      <c r="AO66" s="50"/>
      <c r="AP66" s="50"/>
      <c r="AQ66" s="50"/>
      <c r="AR66" s="50"/>
      <c r="AS66" s="50"/>
      <c r="AT66" s="50"/>
      <c r="AU66" s="50"/>
      <c r="AV66" s="50"/>
      <c r="AW66" s="50"/>
      <c r="AX66" s="50"/>
      <c r="AY66" s="50"/>
      <c r="AZ66" s="50"/>
      <c r="BA66" s="50"/>
      <c r="BB66" s="50"/>
      <c r="BC66" s="50"/>
      <c r="BD66" s="50"/>
      <c r="BE66" s="50"/>
      <c r="BF66" s="50"/>
      <c r="BG66" s="50"/>
      <c r="BH66" s="50"/>
      <c r="BI66" s="50"/>
      <c r="BJ66" s="50"/>
      <c r="BK66" s="50"/>
      <c r="BL66" s="50"/>
      <c r="BM66" s="50"/>
      <c r="BN66" s="50"/>
      <c r="BO66" s="50"/>
      <c r="BP66" s="50"/>
      <c r="BQ66" s="50"/>
      <c r="BR66" s="50"/>
      <c r="BS66" s="50"/>
      <c r="BT66" s="50"/>
      <c r="BU66" s="50"/>
      <c r="BV66" s="50"/>
      <c r="BW66" s="50"/>
      <c r="BX66" s="50"/>
      <c r="BY66" s="50"/>
      <c r="BZ66" s="50"/>
      <c r="CA66" s="50"/>
      <c r="CB66" s="50"/>
      <c r="CC66" s="50"/>
      <c r="CD66" s="50"/>
      <c r="CE66" s="50"/>
      <c r="CF66" s="50"/>
      <c r="CG66" s="50"/>
      <c r="CH66" s="50"/>
      <c r="CI66" s="50"/>
      <c r="CJ66" s="50"/>
      <c r="CK66" s="50"/>
      <c r="CL66" s="50"/>
      <c r="CM66" s="50"/>
      <c r="CN66" s="50"/>
      <c r="CO66" s="50"/>
      <c r="CP66" s="50"/>
      <c r="CQ66" s="50"/>
      <c r="CR66" s="50"/>
      <c r="CS66" s="50"/>
      <c r="CT66" s="50"/>
      <c r="CU66" s="50"/>
      <c r="CV66" s="50"/>
      <c r="CW66" s="50"/>
      <c r="CX66" s="50"/>
      <c r="CY66" s="50"/>
      <c r="CZ66" s="50"/>
      <c r="DA66" s="50"/>
      <c r="DB66" s="50"/>
      <c r="DC66" s="50"/>
      <c r="DD66" s="50"/>
      <c r="DE66" s="50"/>
      <c r="DF66" s="50"/>
      <c r="DG66" s="50"/>
      <c r="DH66" s="50"/>
      <c r="DI66" s="50"/>
      <c r="DJ66" s="50"/>
      <c r="DK66" s="50"/>
      <c r="DL66" s="50"/>
      <c r="DM66" s="50"/>
      <c r="DN66" s="50"/>
      <c r="DO66" s="50"/>
      <c r="DP66" s="50"/>
      <c r="DQ66" s="50"/>
      <c r="DR66" s="50"/>
      <c r="DS66" s="50"/>
      <c r="DT66" s="50"/>
      <c r="DU66" s="50"/>
      <c r="DV66" s="50"/>
      <c r="DW66" s="50"/>
      <c r="DX66" s="50"/>
      <c r="DY66" s="50"/>
      <c r="DZ66" s="50"/>
      <c r="EA66" s="50"/>
      <c r="EB66" s="50"/>
      <c r="EC66" s="50"/>
      <c r="ED66" s="50"/>
      <c r="EE66" s="50"/>
      <c r="EF66" s="50"/>
      <c r="EG66" s="50"/>
      <c r="EH66" s="50"/>
      <c r="EI66" s="50"/>
      <c r="EJ66" s="50"/>
      <c r="EK66" s="50"/>
      <c r="EL66" s="50"/>
      <c r="EM66" s="50"/>
      <c r="EN66" s="50"/>
      <c r="EO66" s="50"/>
      <c r="EP66" s="50"/>
      <c r="EQ66" s="50"/>
      <c r="ER66" s="50"/>
      <c r="ES66" s="50"/>
      <c r="ET66" s="50"/>
      <c r="EU66" s="50"/>
      <c r="EV66" s="50"/>
      <c r="EW66" s="50"/>
      <c r="EX66" s="50"/>
      <c r="EY66" s="50"/>
      <c r="EZ66" s="50"/>
      <c r="FA66" s="50"/>
      <c r="FB66" s="50"/>
      <c r="FC66" s="50"/>
      <c r="FD66" s="50"/>
      <c r="FE66" s="50"/>
      <c r="FF66" s="50"/>
      <c r="FG66" s="50"/>
      <c r="FH66" s="50"/>
      <c r="FI66" s="50"/>
      <c r="FJ66" s="50"/>
      <c r="FK66" s="50"/>
      <c r="FL66" s="50"/>
      <c r="FM66" s="50"/>
      <c r="FN66" s="50"/>
      <c r="FO66" s="50"/>
      <c r="FP66" s="50"/>
      <c r="FQ66" s="50"/>
      <c r="FR66" s="50"/>
      <c r="FS66" s="50"/>
      <c r="FT66" s="50"/>
      <c r="FU66" s="50"/>
      <c r="FV66" s="50"/>
      <c r="FW66" s="50"/>
      <c r="FX66" s="50"/>
      <c r="FY66" s="50"/>
      <c r="FZ66" s="50"/>
      <c r="GA66" s="50"/>
      <c r="GB66" s="50"/>
      <c r="GC66" s="50"/>
      <c r="GD66" s="50"/>
      <c r="GE66" s="50"/>
      <c r="GF66" s="50"/>
      <c r="GG66" s="50"/>
      <c r="GH66" s="50"/>
      <c r="GI66" s="50"/>
      <c r="GJ66" s="50"/>
      <c r="GK66" s="50"/>
      <c r="GL66" s="50"/>
      <c r="GM66" s="50"/>
      <c r="GN66" s="50"/>
      <c r="GO66" s="50"/>
      <c r="GP66" s="50"/>
      <c r="GQ66" s="50"/>
      <c r="GR66" s="50"/>
      <c r="GS66" s="50"/>
      <c r="GT66" s="50"/>
      <c r="GU66" s="50"/>
      <c r="GV66" s="50"/>
      <c r="GW66" s="50"/>
      <c r="GX66" s="50"/>
      <c r="GY66" s="50"/>
      <c r="GZ66" s="50"/>
      <c r="HA66" s="50"/>
      <c r="HB66" s="50"/>
      <c r="HC66" s="50"/>
      <c r="HD66" s="50"/>
      <c r="HE66" s="50"/>
      <c r="HF66" s="50"/>
      <c r="HG66" s="50"/>
      <c r="HH66" s="50"/>
      <c r="HI66" s="50"/>
      <c r="HJ66" s="50"/>
      <c r="HK66" s="50"/>
      <c r="HL66" s="50"/>
      <c r="HM66" s="50"/>
      <c r="HN66" s="50"/>
      <c r="HO66" s="50"/>
      <c r="HP66" s="50"/>
      <c r="HQ66" s="50"/>
      <c r="HR66" s="50"/>
      <c r="HS66" s="50"/>
      <c r="HT66" s="50"/>
      <c r="HU66" s="50"/>
      <c r="HV66" s="50"/>
      <c r="HW66" s="50"/>
      <c r="HX66" s="50"/>
      <c r="HY66" s="50"/>
      <c r="HZ66" s="50"/>
      <c r="IA66" s="50"/>
      <c r="IB66" s="50"/>
      <c r="IC66" s="50"/>
      <c r="ID66" s="50"/>
      <c r="IE66" s="50"/>
      <c r="IF66" s="50"/>
      <c r="IG66" s="50"/>
      <c r="IH66" s="50"/>
      <c r="II66" s="50"/>
      <c r="IJ66" s="50"/>
      <c r="IK66" s="50"/>
      <c r="IL66" s="50"/>
      <c r="IM66" s="50"/>
      <c r="IN66" s="50"/>
      <c r="IO66" s="50"/>
      <c r="IP66" s="50"/>
      <c r="IQ66" s="50"/>
      <c r="IR66" s="50"/>
      <c r="IS66" s="50"/>
      <c r="IT66" s="50"/>
      <c r="IU66" s="50"/>
      <c r="IV66" s="50"/>
    </row>
    <row r="67" spans="1:256" ht="24.75" customHeight="1" x14ac:dyDescent="0.35">
      <c r="A67" s="1403">
        <v>58</v>
      </c>
      <c r="B67" s="50"/>
      <c r="C67" s="1407" t="s">
        <v>1116</v>
      </c>
      <c r="D67" s="1550" t="s">
        <v>1102</v>
      </c>
      <c r="E67" s="1555"/>
      <c r="F67" s="1410"/>
      <c r="G67" s="1410"/>
      <c r="H67" s="1410"/>
      <c r="I67" s="50"/>
      <c r="J67" s="50"/>
      <c r="K67" s="50"/>
      <c r="L67" s="50"/>
      <c r="M67" s="50"/>
      <c r="N67" s="50"/>
      <c r="O67" s="50"/>
      <c r="P67" s="50"/>
      <c r="Q67" s="50"/>
      <c r="R67" s="50"/>
      <c r="S67" s="50"/>
      <c r="T67" s="50"/>
      <c r="U67" s="50"/>
      <c r="V67" s="50"/>
      <c r="W67" s="50"/>
      <c r="X67" s="50"/>
      <c r="Y67" s="50"/>
      <c r="Z67" s="50"/>
      <c r="AA67" s="50"/>
      <c r="AB67" s="50"/>
      <c r="AC67" s="50"/>
      <c r="AD67" s="50"/>
      <c r="AE67" s="50"/>
      <c r="AF67" s="50"/>
      <c r="AG67" s="50"/>
      <c r="AH67" s="50"/>
      <c r="AI67" s="50"/>
      <c r="AJ67" s="50"/>
      <c r="AK67" s="50"/>
      <c r="AL67" s="50"/>
      <c r="AM67" s="50"/>
      <c r="AN67" s="50"/>
      <c r="AO67" s="50"/>
      <c r="AP67" s="50"/>
      <c r="AQ67" s="50"/>
      <c r="AR67" s="50"/>
      <c r="AS67" s="50"/>
      <c r="AT67" s="50"/>
      <c r="AU67" s="50"/>
      <c r="AV67" s="50"/>
      <c r="AW67" s="50"/>
      <c r="AX67" s="50"/>
      <c r="AY67" s="50"/>
      <c r="AZ67" s="50"/>
      <c r="BA67" s="50"/>
      <c r="BB67" s="50"/>
      <c r="BC67" s="50"/>
      <c r="BD67" s="50"/>
      <c r="BE67" s="50"/>
      <c r="BF67" s="50"/>
      <c r="BG67" s="50"/>
      <c r="BH67" s="50"/>
      <c r="BI67" s="50"/>
      <c r="BJ67" s="50"/>
      <c r="BK67" s="50"/>
      <c r="BL67" s="50"/>
      <c r="BM67" s="50"/>
      <c r="BN67" s="50"/>
      <c r="BO67" s="50"/>
      <c r="BP67" s="50"/>
      <c r="BQ67" s="50"/>
      <c r="BR67" s="50"/>
      <c r="BS67" s="50"/>
      <c r="BT67" s="50"/>
      <c r="BU67" s="50"/>
      <c r="BV67" s="50"/>
      <c r="BW67" s="50"/>
      <c r="BX67" s="50"/>
      <c r="BY67" s="50"/>
      <c r="BZ67" s="50"/>
      <c r="CA67" s="50"/>
      <c r="CB67" s="50"/>
      <c r="CC67" s="50"/>
      <c r="CD67" s="50"/>
      <c r="CE67" s="50"/>
      <c r="CF67" s="50"/>
      <c r="CG67" s="50"/>
      <c r="CH67" s="50"/>
      <c r="CI67" s="50"/>
      <c r="CJ67" s="50"/>
      <c r="CK67" s="50"/>
      <c r="CL67" s="50"/>
      <c r="CM67" s="50"/>
      <c r="CN67" s="50"/>
      <c r="CO67" s="50"/>
      <c r="CP67" s="50"/>
      <c r="CQ67" s="50"/>
      <c r="CR67" s="50"/>
      <c r="CS67" s="50"/>
      <c r="CT67" s="50"/>
      <c r="CU67" s="50"/>
      <c r="CV67" s="50"/>
      <c r="CW67" s="50"/>
      <c r="CX67" s="50"/>
      <c r="CY67" s="50"/>
      <c r="CZ67" s="50"/>
      <c r="DA67" s="50"/>
      <c r="DB67" s="50"/>
      <c r="DC67" s="50"/>
      <c r="DD67" s="50"/>
      <c r="DE67" s="50"/>
      <c r="DF67" s="50"/>
      <c r="DG67" s="50"/>
      <c r="DH67" s="50"/>
      <c r="DI67" s="50"/>
      <c r="DJ67" s="50"/>
      <c r="DK67" s="50"/>
      <c r="DL67" s="50"/>
      <c r="DM67" s="50"/>
      <c r="DN67" s="50"/>
      <c r="DO67" s="50"/>
      <c r="DP67" s="50"/>
      <c r="DQ67" s="50"/>
      <c r="DR67" s="50"/>
      <c r="DS67" s="50"/>
      <c r="DT67" s="50"/>
      <c r="DU67" s="50"/>
      <c r="DV67" s="50"/>
      <c r="DW67" s="50"/>
      <c r="DX67" s="50"/>
      <c r="DY67" s="50"/>
      <c r="DZ67" s="50"/>
      <c r="EA67" s="50"/>
      <c r="EB67" s="50"/>
      <c r="EC67" s="50"/>
      <c r="ED67" s="50"/>
      <c r="EE67" s="50"/>
      <c r="EF67" s="50"/>
      <c r="EG67" s="50"/>
      <c r="EH67" s="50"/>
      <c r="EI67" s="50"/>
      <c r="EJ67" s="50"/>
      <c r="EK67" s="50"/>
      <c r="EL67" s="50"/>
      <c r="EM67" s="50"/>
      <c r="EN67" s="50"/>
      <c r="EO67" s="50"/>
      <c r="EP67" s="50"/>
      <c r="EQ67" s="50"/>
      <c r="ER67" s="50"/>
      <c r="ES67" s="50"/>
      <c r="ET67" s="50"/>
      <c r="EU67" s="50"/>
      <c r="EV67" s="50"/>
      <c r="EW67" s="50"/>
      <c r="EX67" s="50"/>
      <c r="EY67" s="50"/>
      <c r="EZ67" s="50"/>
      <c r="FA67" s="50"/>
      <c r="FB67" s="50"/>
      <c r="FC67" s="50"/>
      <c r="FD67" s="50"/>
      <c r="FE67" s="50"/>
      <c r="FF67" s="50"/>
      <c r="FG67" s="50"/>
      <c r="FH67" s="50"/>
      <c r="FI67" s="50"/>
      <c r="FJ67" s="50"/>
      <c r="FK67" s="50"/>
      <c r="FL67" s="50"/>
      <c r="FM67" s="50"/>
      <c r="FN67" s="50"/>
      <c r="FO67" s="50"/>
      <c r="FP67" s="50"/>
      <c r="FQ67" s="50"/>
      <c r="FR67" s="50"/>
      <c r="FS67" s="50"/>
      <c r="FT67" s="50"/>
      <c r="FU67" s="50"/>
      <c r="FV67" s="50"/>
      <c r="FW67" s="50"/>
      <c r="FX67" s="50"/>
      <c r="FY67" s="50"/>
      <c r="FZ67" s="50"/>
      <c r="GA67" s="50"/>
      <c r="GB67" s="50"/>
      <c r="GC67" s="50"/>
      <c r="GD67" s="50"/>
      <c r="GE67" s="50"/>
      <c r="GF67" s="50"/>
      <c r="GG67" s="50"/>
      <c r="GH67" s="50"/>
      <c r="GI67" s="50"/>
      <c r="GJ67" s="50"/>
      <c r="GK67" s="50"/>
      <c r="GL67" s="50"/>
      <c r="GM67" s="50"/>
      <c r="GN67" s="50"/>
      <c r="GO67" s="50"/>
      <c r="GP67" s="50"/>
      <c r="GQ67" s="50"/>
      <c r="GR67" s="50"/>
      <c r="GS67" s="50"/>
      <c r="GT67" s="50"/>
      <c r="GU67" s="50"/>
      <c r="GV67" s="50"/>
      <c r="GW67" s="50"/>
      <c r="GX67" s="50"/>
      <c r="GY67" s="50"/>
      <c r="GZ67" s="50"/>
      <c r="HA67" s="50"/>
      <c r="HB67" s="50"/>
      <c r="HC67" s="50"/>
      <c r="HD67" s="50"/>
      <c r="HE67" s="50"/>
      <c r="HF67" s="50"/>
      <c r="HG67" s="50"/>
      <c r="HH67" s="50"/>
      <c r="HI67" s="50"/>
      <c r="HJ67" s="50"/>
      <c r="HK67" s="50"/>
      <c r="HL67" s="50"/>
      <c r="HM67" s="50"/>
      <c r="HN67" s="50"/>
      <c r="HO67" s="50"/>
      <c r="HP67" s="50"/>
      <c r="HQ67" s="50"/>
      <c r="HR67" s="50"/>
      <c r="HS67" s="50"/>
      <c r="HT67" s="50"/>
      <c r="HU67" s="50"/>
      <c r="HV67" s="50"/>
      <c r="HW67" s="50"/>
      <c r="HX67" s="50"/>
      <c r="HY67" s="50"/>
      <c r="HZ67" s="50"/>
      <c r="IA67" s="50"/>
      <c r="IB67" s="50"/>
      <c r="IC67" s="50"/>
      <c r="ID67" s="50"/>
      <c r="IE67" s="50"/>
      <c r="IF67" s="50"/>
      <c r="IG67" s="50"/>
      <c r="IH67" s="50"/>
      <c r="II67" s="50"/>
      <c r="IJ67" s="50"/>
      <c r="IK67" s="50"/>
      <c r="IL67" s="50"/>
      <c r="IM67" s="50"/>
      <c r="IN67" s="50"/>
      <c r="IO67" s="50"/>
      <c r="IP67" s="50"/>
      <c r="IQ67" s="50"/>
      <c r="IR67" s="50"/>
      <c r="IS67" s="50"/>
      <c r="IT67" s="50"/>
      <c r="IU67" s="50"/>
      <c r="IV67" s="50"/>
    </row>
    <row r="68" spans="1:256" ht="17.25" x14ac:dyDescent="0.35">
      <c r="A68" s="1403">
        <v>59</v>
      </c>
      <c r="B68" s="50"/>
      <c r="C68" s="19"/>
      <c r="D68" s="569" t="s">
        <v>1103</v>
      </c>
      <c r="E68" s="1555">
        <v>28000</v>
      </c>
      <c r="F68" s="1410"/>
      <c r="G68" s="1410"/>
      <c r="H68" s="1410"/>
      <c r="I68" s="50"/>
      <c r="J68" s="50"/>
      <c r="K68" s="50"/>
      <c r="L68" s="50"/>
      <c r="M68" s="50"/>
      <c r="N68" s="50"/>
      <c r="O68" s="50"/>
      <c r="P68" s="50"/>
      <c r="Q68" s="50"/>
      <c r="R68" s="50"/>
      <c r="S68" s="50"/>
      <c r="T68" s="50"/>
      <c r="U68" s="50"/>
      <c r="V68" s="50"/>
      <c r="W68" s="50"/>
      <c r="X68" s="50"/>
      <c r="Y68" s="50"/>
      <c r="Z68" s="50"/>
      <c r="AA68" s="50"/>
      <c r="AB68" s="50"/>
      <c r="AC68" s="50"/>
      <c r="AD68" s="50"/>
      <c r="AE68" s="50"/>
      <c r="AF68" s="50"/>
      <c r="AG68" s="50"/>
      <c r="AH68" s="50"/>
      <c r="AI68" s="50"/>
      <c r="AJ68" s="50"/>
      <c r="AK68" s="50"/>
      <c r="AL68" s="50"/>
      <c r="AM68" s="50"/>
      <c r="AN68" s="50"/>
      <c r="AO68" s="50"/>
      <c r="AP68" s="50"/>
      <c r="AQ68" s="50"/>
      <c r="AR68" s="50"/>
      <c r="AS68" s="50"/>
      <c r="AT68" s="50"/>
      <c r="AU68" s="50"/>
      <c r="AV68" s="50"/>
      <c r="AW68" s="50"/>
      <c r="AX68" s="50"/>
      <c r="AY68" s="50"/>
      <c r="AZ68" s="50"/>
      <c r="BA68" s="50"/>
      <c r="BB68" s="50"/>
      <c r="BC68" s="50"/>
      <c r="BD68" s="50"/>
      <c r="BE68" s="50"/>
      <c r="BF68" s="50"/>
      <c r="BG68" s="50"/>
      <c r="BH68" s="50"/>
      <c r="BI68" s="50"/>
      <c r="BJ68" s="50"/>
      <c r="BK68" s="50"/>
      <c r="BL68" s="50"/>
      <c r="BM68" s="50"/>
      <c r="BN68" s="50"/>
      <c r="BO68" s="50"/>
      <c r="BP68" s="50"/>
      <c r="BQ68" s="50"/>
      <c r="BR68" s="50"/>
      <c r="BS68" s="50"/>
      <c r="BT68" s="50"/>
      <c r="BU68" s="50"/>
      <c r="BV68" s="50"/>
      <c r="BW68" s="50"/>
      <c r="BX68" s="50"/>
      <c r="BY68" s="50"/>
      <c r="BZ68" s="50"/>
      <c r="CA68" s="50"/>
      <c r="CB68" s="50"/>
      <c r="CC68" s="50"/>
      <c r="CD68" s="50"/>
      <c r="CE68" s="50"/>
      <c r="CF68" s="50"/>
      <c r="CG68" s="50"/>
      <c r="CH68" s="50"/>
      <c r="CI68" s="50"/>
      <c r="CJ68" s="50"/>
      <c r="CK68" s="50"/>
      <c r="CL68" s="50"/>
      <c r="CM68" s="50"/>
      <c r="CN68" s="50"/>
      <c r="CO68" s="50"/>
      <c r="CP68" s="50"/>
      <c r="CQ68" s="50"/>
      <c r="CR68" s="50"/>
      <c r="CS68" s="50"/>
      <c r="CT68" s="50"/>
      <c r="CU68" s="50"/>
      <c r="CV68" s="50"/>
      <c r="CW68" s="50"/>
      <c r="CX68" s="50"/>
      <c r="CY68" s="50"/>
      <c r="CZ68" s="50"/>
      <c r="DA68" s="50"/>
      <c r="DB68" s="50"/>
      <c r="DC68" s="50"/>
      <c r="DD68" s="50"/>
      <c r="DE68" s="50"/>
      <c r="DF68" s="50"/>
      <c r="DG68" s="50"/>
      <c r="DH68" s="50"/>
      <c r="DI68" s="50"/>
      <c r="DJ68" s="50"/>
      <c r="DK68" s="50"/>
      <c r="DL68" s="50"/>
      <c r="DM68" s="50"/>
      <c r="DN68" s="50"/>
      <c r="DO68" s="50"/>
      <c r="DP68" s="50"/>
      <c r="DQ68" s="50"/>
      <c r="DR68" s="50"/>
      <c r="DS68" s="50"/>
      <c r="DT68" s="50"/>
      <c r="DU68" s="50"/>
      <c r="DV68" s="50"/>
      <c r="DW68" s="50"/>
      <c r="DX68" s="50"/>
      <c r="DY68" s="50"/>
      <c r="DZ68" s="50"/>
      <c r="EA68" s="50"/>
      <c r="EB68" s="50"/>
      <c r="EC68" s="50"/>
      <c r="ED68" s="50"/>
      <c r="EE68" s="50"/>
      <c r="EF68" s="50"/>
      <c r="EG68" s="50"/>
      <c r="EH68" s="50"/>
      <c r="EI68" s="50"/>
      <c r="EJ68" s="50"/>
      <c r="EK68" s="50"/>
      <c r="EL68" s="50"/>
      <c r="EM68" s="50"/>
      <c r="EN68" s="50"/>
      <c r="EO68" s="50"/>
      <c r="EP68" s="50"/>
      <c r="EQ68" s="50"/>
      <c r="ER68" s="50"/>
      <c r="ES68" s="50"/>
      <c r="ET68" s="50"/>
      <c r="EU68" s="50"/>
      <c r="EV68" s="50"/>
      <c r="EW68" s="50"/>
      <c r="EX68" s="50"/>
      <c r="EY68" s="50"/>
      <c r="EZ68" s="50"/>
      <c r="FA68" s="50"/>
      <c r="FB68" s="50"/>
      <c r="FC68" s="50"/>
      <c r="FD68" s="50"/>
      <c r="FE68" s="50"/>
      <c r="FF68" s="50"/>
      <c r="FG68" s="50"/>
      <c r="FH68" s="50"/>
      <c r="FI68" s="50"/>
      <c r="FJ68" s="50"/>
      <c r="FK68" s="50"/>
      <c r="FL68" s="50"/>
      <c r="FM68" s="50"/>
      <c r="FN68" s="50"/>
      <c r="FO68" s="50"/>
      <c r="FP68" s="50"/>
      <c r="FQ68" s="50"/>
      <c r="FR68" s="50"/>
      <c r="FS68" s="50"/>
      <c r="FT68" s="50"/>
      <c r="FU68" s="50"/>
      <c r="FV68" s="50"/>
      <c r="FW68" s="50"/>
      <c r="FX68" s="50"/>
      <c r="FY68" s="50"/>
      <c r="FZ68" s="50"/>
      <c r="GA68" s="50"/>
      <c r="GB68" s="50"/>
      <c r="GC68" s="50"/>
      <c r="GD68" s="50"/>
      <c r="GE68" s="50"/>
      <c r="GF68" s="50"/>
      <c r="GG68" s="50"/>
      <c r="GH68" s="50"/>
      <c r="GI68" s="50"/>
      <c r="GJ68" s="50"/>
      <c r="GK68" s="50"/>
      <c r="GL68" s="50"/>
      <c r="GM68" s="50"/>
      <c r="GN68" s="50"/>
      <c r="GO68" s="50"/>
      <c r="GP68" s="50"/>
      <c r="GQ68" s="50"/>
      <c r="GR68" s="50"/>
      <c r="GS68" s="50"/>
      <c r="GT68" s="50"/>
      <c r="GU68" s="50"/>
      <c r="GV68" s="50"/>
      <c r="GW68" s="50"/>
      <c r="GX68" s="50"/>
      <c r="GY68" s="50"/>
      <c r="GZ68" s="50"/>
      <c r="HA68" s="50"/>
      <c r="HB68" s="50"/>
      <c r="HC68" s="50"/>
      <c r="HD68" s="50"/>
      <c r="HE68" s="50"/>
      <c r="HF68" s="50"/>
      <c r="HG68" s="50"/>
      <c r="HH68" s="50"/>
      <c r="HI68" s="50"/>
      <c r="HJ68" s="50"/>
      <c r="HK68" s="50"/>
      <c r="HL68" s="50"/>
      <c r="HM68" s="50"/>
      <c r="HN68" s="50"/>
      <c r="HO68" s="50"/>
      <c r="HP68" s="50"/>
      <c r="HQ68" s="50"/>
      <c r="HR68" s="50"/>
      <c r="HS68" s="50"/>
      <c r="HT68" s="50"/>
      <c r="HU68" s="50"/>
      <c r="HV68" s="50"/>
      <c r="HW68" s="50"/>
      <c r="HX68" s="50"/>
      <c r="HY68" s="50"/>
      <c r="HZ68" s="50"/>
      <c r="IA68" s="50"/>
      <c r="IB68" s="50"/>
      <c r="IC68" s="50"/>
      <c r="ID68" s="50"/>
      <c r="IE68" s="50"/>
      <c r="IF68" s="50"/>
      <c r="IG68" s="50"/>
      <c r="IH68" s="50"/>
      <c r="II68" s="50"/>
      <c r="IJ68" s="50"/>
      <c r="IK68" s="50"/>
      <c r="IL68" s="50"/>
      <c r="IM68" s="50"/>
      <c r="IN68" s="50"/>
      <c r="IO68" s="50"/>
      <c r="IP68" s="50"/>
      <c r="IQ68" s="50"/>
      <c r="IR68" s="50"/>
      <c r="IS68" s="50"/>
      <c r="IT68" s="50"/>
      <c r="IU68" s="50"/>
      <c r="IV68" s="50"/>
    </row>
    <row r="69" spans="1:256" ht="24.75" customHeight="1" x14ac:dyDescent="0.35">
      <c r="A69" s="1403">
        <v>60</v>
      </c>
      <c r="B69" s="50"/>
      <c r="C69" s="1407" t="s">
        <v>1117</v>
      </c>
      <c r="D69" s="1550" t="s">
        <v>933</v>
      </c>
      <c r="E69" s="1555"/>
      <c r="F69" s="1410"/>
      <c r="G69" s="1410"/>
      <c r="H69" s="1410"/>
      <c r="I69" s="50"/>
      <c r="J69" s="50"/>
      <c r="K69" s="50"/>
      <c r="L69" s="50"/>
      <c r="M69" s="50"/>
      <c r="N69" s="50"/>
      <c r="O69" s="50"/>
      <c r="P69" s="50"/>
      <c r="Q69" s="50"/>
      <c r="R69" s="50"/>
      <c r="S69" s="50"/>
      <c r="T69" s="50"/>
      <c r="U69" s="50"/>
      <c r="V69" s="50"/>
      <c r="W69" s="50"/>
      <c r="X69" s="50"/>
      <c r="Y69" s="50"/>
      <c r="Z69" s="50"/>
      <c r="AA69" s="50"/>
      <c r="AB69" s="50"/>
      <c r="AC69" s="50"/>
      <c r="AD69" s="50"/>
      <c r="AE69" s="50"/>
      <c r="AF69" s="50"/>
      <c r="AG69" s="50"/>
      <c r="AH69" s="50"/>
      <c r="AI69" s="50"/>
      <c r="AJ69" s="50"/>
      <c r="AK69" s="50"/>
      <c r="AL69" s="50"/>
      <c r="AM69" s="50"/>
      <c r="AN69" s="50"/>
      <c r="AO69" s="50"/>
      <c r="AP69" s="50"/>
      <c r="AQ69" s="50"/>
      <c r="AR69" s="50"/>
      <c r="AS69" s="50"/>
      <c r="AT69" s="50"/>
      <c r="AU69" s="50"/>
      <c r="AV69" s="50"/>
      <c r="AW69" s="50"/>
      <c r="AX69" s="50"/>
      <c r="AY69" s="50"/>
      <c r="AZ69" s="50"/>
      <c r="BA69" s="50"/>
      <c r="BB69" s="50"/>
      <c r="BC69" s="50"/>
      <c r="BD69" s="50"/>
      <c r="BE69" s="50"/>
      <c r="BF69" s="50"/>
      <c r="BG69" s="50"/>
      <c r="BH69" s="50"/>
      <c r="BI69" s="50"/>
      <c r="BJ69" s="50"/>
      <c r="BK69" s="50"/>
      <c r="BL69" s="50"/>
      <c r="BM69" s="50"/>
      <c r="BN69" s="50"/>
      <c r="BO69" s="50"/>
      <c r="BP69" s="50"/>
      <c r="BQ69" s="50"/>
      <c r="BR69" s="50"/>
      <c r="BS69" s="50"/>
      <c r="BT69" s="50"/>
      <c r="BU69" s="50"/>
      <c r="BV69" s="50"/>
      <c r="BW69" s="50"/>
      <c r="BX69" s="50"/>
      <c r="BY69" s="50"/>
      <c r="BZ69" s="50"/>
      <c r="CA69" s="50"/>
      <c r="CB69" s="50"/>
      <c r="CC69" s="50"/>
      <c r="CD69" s="50"/>
      <c r="CE69" s="50"/>
      <c r="CF69" s="50"/>
      <c r="CG69" s="50"/>
      <c r="CH69" s="50"/>
      <c r="CI69" s="50"/>
      <c r="CJ69" s="50"/>
      <c r="CK69" s="50"/>
      <c r="CL69" s="50"/>
      <c r="CM69" s="50"/>
      <c r="CN69" s="50"/>
      <c r="CO69" s="50"/>
      <c r="CP69" s="50"/>
      <c r="CQ69" s="50"/>
      <c r="CR69" s="50"/>
      <c r="CS69" s="50"/>
      <c r="CT69" s="50"/>
      <c r="CU69" s="50"/>
      <c r="CV69" s="50"/>
      <c r="CW69" s="50"/>
      <c r="CX69" s="50"/>
      <c r="CY69" s="50"/>
      <c r="CZ69" s="50"/>
      <c r="DA69" s="50"/>
      <c r="DB69" s="50"/>
      <c r="DC69" s="50"/>
      <c r="DD69" s="50"/>
      <c r="DE69" s="50"/>
      <c r="DF69" s="50"/>
      <c r="DG69" s="50"/>
      <c r="DH69" s="50"/>
      <c r="DI69" s="50"/>
      <c r="DJ69" s="50"/>
      <c r="DK69" s="50"/>
      <c r="DL69" s="50"/>
      <c r="DM69" s="50"/>
      <c r="DN69" s="50"/>
      <c r="DO69" s="50"/>
      <c r="DP69" s="50"/>
      <c r="DQ69" s="50"/>
      <c r="DR69" s="50"/>
      <c r="DS69" s="50"/>
      <c r="DT69" s="50"/>
      <c r="DU69" s="50"/>
      <c r="DV69" s="50"/>
      <c r="DW69" s="50"/>
      <c r="DX69" s="50"/>
      <c r="DY69" s="50"/>
      <c r="DZ69" s="50"/>
      <c r="EA69" s="50"/>
      <c r="EB69" s="50"/>
      <c r="EC69" s="50"/>
      <c r="ED69" s="50"/>
      <c r="EE69" s="50"/>
      <c r="EF69" s="50"/>
      <c r="EG69" s="50"/>
      <c r="EH69" s="50"/>
      <c r="EI69" s="50"/>
      <c r="EJ69" s="50"/>
      <c r="EK69" s="50"/>
      <c r="EL69" s="50"/>
      <c r="EM69" s="50"/>
      <c r="EN69" s="50"/>
      <c r="EO69" s="50"/>
      <c r="EP69" s="50"/>
      <c r="EQ69" s="50"/>
      <c r="ER69" s="50"/>
      <c r="ES69" s="50"/>
      <c r="ET69" s="50"/>
      <c r="EU69" s="50"/>
      <c r="EV69" s="50"/>
      <c r="EW69" s="50"/>
      <c r="EX69" s="50"/>
      <c r="EY69" s="50"/>
      <c r="EZ69" s="50"/>
      <c r="FA69" s="50"/>
      <c r="FB69" s="50"/>
      <c r="FC69" s="50"/>
      <c r="FD69" s="50"/>
      <c r="FE69" s="50"/>
      <c r="FF69" s="50"/>
      <c r="FG69" s="50"/>
      <c r="FH69" s="50"/>
      <c r="FI69" s="50"/>
      <c r="FJ69" s="50"/>
      <c r="FK69" s="50"/>
      <c r="FL69" s="50"/>
      <c r="FM69" s="50"/>
      <c r="FN69" s="50"/>
      <c r="FO69" s="50"/>
      <c r="FP69" s="50"/>
      <c r="FQ69" s="50"/>
      <c r="FR69" s="50"/>
      <c r="FS69" s="50"/>
      <c r="FT69" s="50"/>
      <c r="FU69" s="50"/>
      <c r="FV69" s="50"/>
      <c r="FW69" s="50"/>
      <c r="FX69" s="50"/>
      <c r="FY69" s="50"/>
      <c r="FZ69" s="50"/>
      <c r="GA69" s="50"/>
      <c r="GB69" s="50"/>
      <c r="GC69" s="50"/>
      <c r="GD69" s="50"/>
      <c r="GE69" s="50"/>
      <c r="GF69" s="50"/>
      <c r="GG69" s="50"/>
      <c r="GH69" s="50"/>
      <c r="GI69" s="50"/>
      <c r="GJ69" s="50"/>
      <c r="GK69" s="50"/>
      <c r="GL69" s="50"/>
      <c r="GM69" s="50"/>
      <c r="GN69" s="50"/>
      <c r="GO69" s="50"/>
      <c r="GP69" s="50"/>
      <c r="GQ69" s="50"/>
      <c r="GR69" s="50"/>
      <c r="GS69" s="50"/>
      <c r="GT69" s="50"/>
      <c r="GU69" s="50"/>
      <c r="GV69" s="50"/>
      <c r="GW69" s="50"/>
      <c r="GX69" s="50"/>
      <c r="GY69" s="50"/>
      <c r="GZ69" s="50"/>
      <c r="HA69" s="50"/>
      <c r="HB69" s="50"/>
      <c r="HC69" s="50"/>
      <c r="HD69" s="50"/>
      <c r="HE69" s="50"/>
      <c r="HF69" s="50"/>
      <c r="HG69" s="50"/>
      <c r="HH69" s="50"/>
      <c r="HI69" s="50"/>
      <c r="HJ69" s="50"/>
      <c r="HK69" s="50"/>
      <c r="HL69" s="50"/>
      <c r="HM69" s="50"/>
      <c r="HN69" s="50"/>
      <c r="HO69" s="50"/>
      <c r="HP69" s="50"/>
      <c r="HQ69" s="50"/>
      <c r="HR69" s="50"/>
      <c r="HS69" s="50"/>
      <c r="HT69" s="50"/>
      <c r="HU69" s="50"/>
      <c r="HV69" s="50"/>
      <c r="HW69" s="50"/>
      <c r="HX69" s="50"/>
      <c r="HY69" s="50"/>
      <c r="HZ69" s="50"/>
      <c r="IA69" s="50"/>
      <c r="IB69" s="50"/>
      <c r="IC69" s="50"/>
      <c r="ID69" s="50"/>
      <c r="IE69" s="50"/>
      <c r="IF69" s="50"/>
      <c r="IG69" s="50"/>
      <c r="IH69" s="50"/>
      <c r="II69" s="50"/>
      <c r="IJ69" s="50"/>
      <c r="IK69" s="50"/>
      <c r="IL69" s="50"/>
      <c r="IM69" s="50"/>
      <c r="IN69" s="50"/>
      <c r="IO69" s="50"/>
      <c r="IP69" s="50"/>
      <c r="IQ69" s="50"/>
      <c r="IR69" s="50"/>
      <c r="IS69" s="50"/>
      <c r="IT69" s="50"/>
      <c r="IU69" s="50"/>
      <c r="IV69" s="50"/>
    </row>
    <row r="70" spans="1:256" ht="18" customHeight="1" x14ac:dyDescent="0.35">
      <c r="A70" s="1403">
        <v>61</v>
      </c>
      <c r="B70" s="50"/>
      <c r="C70" s="19"/>
      <c r="D70" s="569" t="s">
        <v>934</v>
      </c>
      <c r="E70" s="1555">
        <v>160</v>
      </c>
      <c r="F70" s="1410"/>
      <c r="G70" s="1410"/>
      <c r="H70" s="1410"/>
      <c r="I70" s="50"/>
      <c r="J70" s="50"/>
      <c r="K70" s="50"/>
      <c r="L70" s="50"/>
      <c r="M70" s="50"/>
      <c r="N70" s="50"/>
      <c r="O70" s="50"/>
      <c r="P70" s="50"/>
      <c r="Q70" s="50"/>
      <c r="R70" s="50"/>
      <c r="S70" s="50"/>
      <c r="T70" s="50"/>
      <c r="U70" s="50"/>
      <c r="V70" s="50"/>
      <c r="W70" s="50"/>
      <c r="X70" s="50"/>
      <c r="Y70" s="50"/>
      <c r="Z70" s="50"/>
      <c r="AA70" s="50"/>
      <c r="AB70" s="50"/>
      <c r="AC70" s="50"/>
      <c r="AD70" s="50"/>
      <c r="AE70" s="50"/>
      <c r="AF70" s="50"/>
      <c r="AG70" s="50"/>
      <c r="AH70" s="50"/>
      <c r="AI70" s="50"/>
      <c r="AJ70" s="50"/>
      <c r="AK70" s="50"/>
      <c r="AL70" s="50"/>
      <c r="AM70" s="50"/>
      <c r="AN70" s="50"/>
      <c r="AO70" s="50"/>
      <c r="AP70" s="50"/>
      <c r="AQ70" s="50"/>
      <c r="AR70" s="50"/>
      <c r="AS70" s="50"/>
      <c r="AT70" s="50"/>
      <c r="AU70" s="50"/>
      <c r="AV70" s="50"/>
      <c r="AW70" s="50"/>
      <c r="AX70" s="50"/>
      <c r="AY70" s="50"/>
      <c r="AZ70" s="50"/>
      <c r="BA70" s="50"/>
      <c r="BB70" s="50"/>
      <c r="BC70" s="50"/>
      <c r="BD70" s="50"/>
      <c r="BE70" s="50"/>
      <c r="BF70" s="50"/>
      <c r="BG70" s="50"/>
      <c r="BH70" s="50"/>
      <c r="BI70" s="50"/>
      <c r="BJ70" s="50"/>
      <c r="BK70" s="50"/>
      <c r="BL70" s="50"/>
      <c r="BM70" s="50"/>
      <c r="BN70" s="50"/>
      <c r="BO70" s="50"/>
      <c r="BP70" s="50"/>
      <c r="BQ70" s="50"/>
      <c r="BR70" s="50"/>
      <c r="BS70" s="50"/>
      <c r="BT70" s="50"/>
      <c r="BU70" s="50"/>
      <c r="BV70" s="50"/>
      <c r="BW70" s="50"/>
      <c r="BX70" s="50"/>
      <c r="BY70" s="50"/>
      <c r="BZ70" s="50"/>
      <c r="CA70" s="50"/>
      <c r="CB70" s="50"/>
      <c r="CC70" s="50"/>
      <c r="CD70" s="50"/>
      <c r="CE70" s="50"/>
      <c r="CF70" s="50"/>
      <c r="CG70" s="50"/>
      <c r="CH70" s="50"/>
      <c r="CI70" s="50"/>
      <c r="CJ70" s="50"/>
      <c r="CK70" s="50"/>
      <c r="CL70" s="50"/>
      <c r="CM70" s="50"/>
      <c r="CN70" s="50"/>
      <c r="CO70" s="50"/>
      <c r="CP70" s="50"/>
      <c r="CQ70" s="50"/>
      <c r="CR70" s="50"/>
      <c r="CS70" s="50"/>
      <c r="CT70" s="50"/>
      <c r="CU70" s="50"/>
      <c r="CV70" s="50"/>
      <c r="CW70" s="50"/>
      <c r="CX70" s="50"/>
      <c r="CY70" s="50"/>
      <c r="CZ70" s="50"/>
      <c r="DA70" s="50"/>
      <c r="DB70" s="50"/>
      <c r="DC70" s="50"/>
      <c r="DD70" s="50"/>
      <c r="DE70" s="50"/>
      <c r="DF70" s="50"/>
      <c r="DG70" s="50"/>
      <c r="DH70" s="50"/>
      <c r="DI70" s="50"/>
      <c r="DJ70" s="50"/>
      <c r="DK70" s="50"/>
      <c r="DL70" s="50"/>
      <c r="DM70" s="50"/>
      <c r="DN70" s="50"/>
      <c r="DO70" s="50"/>
      <c r="DP70" s="50"/>
      <c r="DQ70" s="50"/>
      <c r="DR70" s="50"/>
      <c r="DS70" s="50"/>
      <c r="DT70" s="50"/>
      <c r="DU70" s="50"/>
      <c r="DV70" s="50"/>
      <c r="DW70" s="50"/>
      <c r="DX70" s="50"/>
      <c r="DY70" s="50"/>
      <c r="DZ70" s="50"/>
      <c r="EA70" s="50"/>
      <c r="EB70" s="50"/>
      <c r="EC70" s="50"/>
      <c r="ED70" s="50"/>
      <c r="EE70" s="50"/>
      <c r="EF70" s="50"/>
      <c r="EG70" s="50"/>
      <c r="EH70" s="50"/>
      <c r="EI70" s="50"/>
      <c r="EJ70" s="50"/>
      <c r="EK70" s="50"/>
      <c r="EL70" s="50"/>
      <c r="EM70" s="50"/>
      <c r="EN70" s="50"/>
      <c r="EO70" s="50"/>
      <c r="EP70" s="50"/>
      <c r="EQ70" s="50"/>
      <c r="ER70" s="50"/>
      <c r="ES70" s="50"/>
      <c r="ET70" s="50"/>
      <c r="EU70" s="50"/>
      <c r="EV70" s="50"/>
      <c r="EW70" s="50"/>
      <c r="EX70" s="50"/>
      <c r="EY70" s="50"/>
      <c r="EZ70" s="50"/>
      <c r="FA70" s="50"/>
      <c r="FB70" s="50"/>
      <c r="FC70" s="50"/>
      <c r="FD70" s="50"/>
      <c r="FE70" s="50"/>
      <c r="FF70" s="50"/>
      <c r="FG70" s="50"/>
      <c r="FH70" s="50"/>
      <c r="FI70" s="50"/>
      <c r="FJ70" s="50"/>
      <c r="FK70" s="50"/>
      <c r="FL70" s="50"/>
      <c r="FM70" s="50"/>
      <c r="FN70" s="50"/>
      <c r="FO70" s="50"/>
      <c r="FP70" s="50"/>
      <c r="FQ70" s="50"/>
      <c r="FR70" s="50"/>
      <c r="FS70" s="50"/>
      <c r="FT70" s="50"/>
      <c r="FU70" s="50"/>
      <c r="FV70" s="50"/>
      <c r="FW70" s="50"/>
      <c r="FX70" s="50"/>
      <c r="FY70" s="50"/>
      <c r="FZ70" s="50"/>
      <c r="GA70" s="50"/>
      <c r="GB70" s="50"/>
      <c r="GC70" s="50"/>
      <c r="GD70" s="50"/>
      <c r="GE70" s="50"/>
      <c r="GF70" s="50"/>
      <c r="GG70" s="50"/>
      <c r="GH70" s="50"/>
      <c r="GI70" s="50"/>
      <c r="GJ70" s="50"/>
      <c r="GK70" s="50"/>
      <c r="GL70" s="50"/>
      <c r="GM70" s="50"/>
      <c r="GN70" s="50"/>
      <c r="GO70" s="50"/>
      <c r="GP70" s="50"/>
      <c r="GQ70" s="50"/>
      <c r="GR70" s="50"/>
      <c r="GS70" s="50"/>
      <c r="GT70" s="50"/>
      <c r="GU70" s="50"/>
      <c r="GV70" s="50"/>
      <c r="GW70" s="50"/>
      <c r="GX70" s="50"/>
      <c r="GY70" s="50"/>
      <c r="GZ70" s="50"/>
      <c r="HA70" s="50"/>
      <c r="HB70" s="50"/>
      <c r="HC70" s="50"/>
      <c r="HD70" s="50"/>
      <c r="HE70" s="50"/>
      <c r="HF70" s="50"/>
      <c r="HG70" s="50"/>
      <c r="HH70" s="50"/>
      <c r="HI70" s="50"/>
      <c r="HJ70" s="50"/>
      <c r="HK70" s="50"/>
      <c r="HL70" s="50"/>
      <c r="HM70" s="50"/>
      <c r="HN70" s="50"/>
      <c r="HO70" s="50"/>
      <c r="HP70" s="50"/>
      <c r="HQ70" s="50"/>
      <c r="HR70" s="50"/>
      <c r="HS70" s="50"/>
      <c r="HT70" s="50"/>
      <c r="HU70" s="50"/>
      <c r="HV70" s="50"/>
      <c r="HW70" s="50"/>
      <c r="HX70" s="50"/>
      <c r="HY70" s="50"/>
      <c r="HZ70" s="50"/>
      <c r="IA70" s="50"/>
      <c r="IB70" s="50"/>
      <c r="IC70" s="50"/>
      <c r="ID70" s="50"/>
      <c r="IE70" s="50"/>
      <c r="IF70" s="50"/>
      <c r="IG70" s="50"/>
      <c r="IH70" s="50"/>
      <c r="II70" s="50"/>
      <c r="IJ70" s="50"/>
      <c r="IK70" s="50"/>
      <c r="IL70" s="50"/>
      <c r="IM70" s="50"/>
      <c r="IN70" s="50"/>
      <c r="IO70" s="50"/>
      <c r="IP70" s="50"/>
      <c r="IQ70" s="50"/>
      <c r="IR70" s="50"/>
      <c r="IS70" s="50"/>
      <c r="IT70" s="50"/>
      <c r="IU70" s="50"/>
      <c r="IV70" s="50"/>
    </row>
    <row r="71" spans="1:256" ht="24.75" customHeight="1" x14ac:dyDescent="0.3">
      <c r="A71" s="1403">
        <v>62</v>
      </c>
      <c r="B71" s="50"/>
      <c r="C71" s="1407" t="s">
        <v>1125</v>
      </c>
      <c r="D71" s="1559" t="s">
        <v>214</v>
      </c>
      <c r="E71" s="963"/>
      <c r="F71" s="50"/>
      <c r="G71" s="50"/>
      <c r="H71" s="50"/>
      <c r="I71" s="50"/>
      <c r="J71" s="50"/>
      <c r="K71" s="50"/>
      <c r="L71" s="958"/>
      <c r="M71" s="50"/>
      <c r="N71" s="50"/>
      <c r="O71" s="50"/>
      <c r="P71" s="50"/>
      <c r="Q71" s="50"/>
      <c r="R71" s="50"/>
      <c r="S71" s="50"/>
      <c r="T71" s="50"/>
      <c r="U71" s="50"/>
      <c r="V71" s="50"/>
      <c r="W71" s="50"/>
      <c r="X71" s="50"/>
      <c r="Y71" s="50"/>
      <c r="Z71" s="50"/>
      <c r="AA71" s="50"/>
      <c r="AB71" s="50"/>
      <c r="AC71" s="50"/>
      <c r="AD71" s="50"/>
      <c r="AE71" s="50"/>
      <c r="AF71" s="50"/>
      <c r="AG71" s="50"/>
      <c r="AH71" s="50"/>
      <c r="AI71" s="50"/>
      <c r="AJ71" s="50"/>
      <c r="AK71" s="50"/>
      <c r="AL71" s="50"/>
      <c r="AM71" s="50"/>
      <c r="AN71" s="50"/>
      <c r="AO71" s="50"/>
      <c r="AP71" s="50"/>
      <c r="AQ71" s="50"/>
      <c r="AR71" s="50"/>
      <c r="AS71" s="50"/>
      <c r="AT71" s="50"/>
      <c r="AU71" s="50"/>
      <c r="AV71" s="50"/>
      <c r="AW71" s="50"/>
      <c r="AX71" s="50"/>
      <c r="AY71" s="50"/>
      <c r="AZ71" s="50"/>
      <c r="BA71" s="50"/>
      <c r="BB71" s="50"/>
      <c r="BC71" s="50"/>
      <c r="BD71" s="50"/>
      <c r="BE71" s="50"/>
      <c r="BF71" s="50"/>
      <c r="BG71" s="50"/>
      <c r="BH71" s="50"/>
      <c r="BI71" s="50"/>
      <c r="BJ71" s="50"/>
      <c r="BK71" s="50"/>
      <c r="BL71" s="50"/>
      <c r="BM71" s="50"/>
      <c r="BN71" s="50"/>
      <c r="BO71" s="50"/>
      <c r="BP71" s="50"/>
      <c r="BQ71" s="50"/>
      <c r="BR71" s="50"/>
      <c r="BS71" s="50"/>
      <c r="BT71" s="50"/>
      <c r="BU71" s="50"/>
      <c r="BV71" s="50"/>
      <c r="BW71" s="50"/>
      <c r="BX71" s="50"/>
      <c r="BY71" s="50"/>
      <c r="BZ71" s="50"/>
      <c r="CA71" s="50"/>
      <c r="CB71" s="50"/>
      <c r="CC71" s="50"/>
      <c r="CD71" s="50"/>
      <c r="CE71" s="50"/>
      <c r="CF71" s="50"/>
      <c r="CG71" s="50"/>
      <c r="CH71" s="50"/>
      <c r="CI71" s="50"/>
      <c r="CJ71" s="50"/>
      <c r="CK71" s="50"/>
      <c r="CL71" s="50"/>
      <c r="CM71" s="50"/>
      <c r="CN71" s="50"/>
      <c r="CO71" s="50"/>
      <c r="CP71" s="50"/>
      <c r="CQ71" s="50"/>
      <c r="CR71" s="50"/>
      <c r="CS71" s="50"/>
      <c r="CT71" s="50"/>
      <c r="CU71" s="50"/>
      <c r="CV71" s="50"/>
      <c r="CW71" s="50"/>
      <c r="CX71" s="50"/>
      <c r="CY71" s="50"/>
      <c r="CZ71" s="50"/>
      <c r="DA71" s="50"/>
      <c r="DB71" s="50"/>
      <c r="DC71" s="50"/>
      <c r="DD71" s="50"/>
      <c r="DE71" s="50"/>
      <c r="DF71" s="50"/>
      <c r="DG71" s="50"/>
      <c r="DH71" s="50"/>
      <c r="DI71" s="50"/>
      <c r="DJ71" s="50"/>
      <c r="DK71" s="50"/>
      <c r="DL71" s="50"/>
      <c r="DM71" s="50"/>
      <c r="DN71" s="50"/>
      <c r="DO71" s="50"/>
      <c r="DP71" s="50"/>
      <c r="DQ71" s="50"/>
      <c r="DR71" s="50"/>
      <c r="DS71" s="50"/>
      <c r="DT71" s="50"/>
      <c r="DU71" s="50"/>
      <c r="DV71" s="50"/>
      <c r="DW71" s="50"/>
      <c r="DX71" s="50"/>
      <c r="DY71" s="50"/>
      <c r="DZ71" s="50"/>
      <c r="EA71" s="50"/>
      <c r="EB71" s="50"/>
      <c r="EC71" s="50"/>
      <c r="ED71" s="50"/>
      <c r="EE71" s="50"/>
      <c r="EF71" s="50"/>
      <c r="EG71" s="50"/>
      <c r="EH71" s="50"/>
      <c r="EI71" s="50"/>
      <c r="EJ71" s="50"/>
      <c r="EK71" s="50"/>
      <c r="EL71" s="50"/>
      <c r="EM71" s="50"/>
      <c r="EN71" s="50"/>
      <c r="EO71" s="50"/>
      <c r="EP71" s="50"/>
      <c r="EQ71" s="50"/>
      <c r="ER71" s="50"/>
      <c r="ES71" s="50"/>
      <c r="ET71" s="50"/>
      <c r="EU71" s="50"/>
      <c r="EV71" s="50"/>
      <c r="EW71" s="50"/>
      <c r="EX71" s="50"/>
      <c r="EY71" s="50"/>
      <c r="EZ71" s="50"/>
      <c r="FA71" s="50"/>
      <c r="FB71" s="50"/>
      <c r="FC71" s="50"/>
      <c r="FD71" s="50"/>
      <c r="FE71" s="50"/>
      <c r="FF71" s="50"/>
      <c r="FG71" s="50"/>
      <c r="FH71" s="50"/>
      <c r="FI71" s="50"/>
      <c r="FJ71" s="50"/>
      <c r="FK71" s="50"/>
      <c r="FL71" s="50"/>
      <c r="FM71" s="50"/>
      <c r="FN71" s="50"/>
      <c r="FO71" s="50"/>
      <c r="FP71" s="50"/>
      <c r="FQ71" s="50"/>
      <c r="FR71" s="50"/>
      <c r="FS71" s="50"/>
      <c r="FT71" s="50"/>
      <c r="FU71" s="50"/>
      <c r="FV71" s="50"/>
      <c r="FW71" s="50"/>
      <c r="FX71" s="50"/>
      <c r="FY71" s="50"/>
      <c r="FZ71" s="50"/>
      <c r="GA71" s="50"/>
      <c r="GB71" s="50"/>
      <c r="GC71" s="50"/>
      <c r="GD71" s="50"/>
      <c r="GE71" s="50"/>
      <c r="GF71" s="50"/>
      <c r="GG71" s="50"/>
      <c r="GH71" s="50"/>
      <c r="GI71" s="50"/>
      <c r="GJ71" s="50"/>
      <c r="GK71" s="50"/>
      <c r="GL71" s="50"/>
      <c r="GM71" s="50"/>
      <c r="GN71" s="50"/>
      <c r="GO71" s="50"/>
      <c r="GP71" s="50"/>
      <c r="GQ71" s="50"/>
      <c r="GR71" s="50"/>
      <c r="GS71" s="50"/>
      <c r="GT71" s="50"/>
      <c r="GU71" s="50"/>
      <c r="GV71" s="50"/>
      <c r="GW71" s="50"/>
      <c r="GX71" s="50"/>
      <c r="GY71" s="50"/>
      <c r="GZ71" s="50"/>
      <c r="HA71" s="50"/>
      <c r="HB71" s="50"/>
      <c r="HC71" s="50"/>
      <c r="HD71" s="50"/>
      <c r="HE71" s="50"/>
      <c r="HF71" s="50"/>
      <c r="HG71" s="50"/>
      <c r="HH71" s="50"/>
      <c r="HI71" s="50"/>
      <c r="HJ71" s="50"/>
      <c r="HK71" s="50"/>
      <c r="HL71" s="50"/>
      <c r="HM71" s="50"/>
      <c r="HN71" s="50"/>
      <c r="HO71" s="50"/>
      <c r="HP71" s="50"/>
      <c r="HQ71" s="50"/>
      <c r="HR71" s="50"/>
      <c r="HS71" s="50"/>
      <c r="HT71" s="50"/>
      <c r="HU71" s="50"/>
      <c r="HV71" s="50"/>
      <c r="HW71" s="50"/>
      <c r="HX71" s="50"/>
      <c r="HY71" s="50"/>
      <c r="HZ71" s="50"/>
      <c r="IA71" s="50"/>
      <c r="IB71" s="50"/>
      <c r="IC71" s="50"/>
      <c r="ID71" s="50"/>
      <c r="IE71" s="50"/>
      <c r="IF71" s="50"/>
      <c r="IG71" s="50"/>
      <c r="IH71" s="50"/>
      <c r="II71" s="50"/>
      <c r="IJ71" s="50"/>
      <c r="IK71" s="50"/>
      <c r="IL71" s="50"/>
      <c r="IM71" s="50"/>
      <c r="IN71" s="50"/>
      <c r="IO71" s="50"/>
      <c r="IP71" s="50"/>
      <c r="IQ71" s="50"/>
      <c r="IR71" s="50"/>
      <c r="IS71" s="50"/>
      <c r="IT71" s="50"/>
      <c r="IU71" s="50"/>
      <c r="IV71" s="50"/>
    </row>
    <row r="72" spans="1:256" ht="18" customHeight="1" thickBot="1" x14ac:dyDescent="0.35">
      <c r="A72" s="1403">
        <v>63</v>
      </c>
      <c r="B72" s="50"/>
      <c r="C72" s="1412"/>
      <c r="D72" s="1556" t="s">
        <v>815</v>
      </c>
      <c r="E72" s="947">
        <f>38690+39276+31578</f>
        <v>109544</v>
      </c>
      <c r="F72" s="50"/>
      <c r="G72" s="50"/>
      <c r="H72" s="50"/>
      <c r="I72" s="50"/>
      <c r="J72" s="50"/>
      <c r="K72" s="50"/>
      <c r="L72" s="958"/>
      <c r="M72" s="50"/>
      <c r="N72" s="50"/>
      <c r="O72" s="50"/>
      <c r="P72" s="50"/>
      <c r="Q72" s="50"/>
      <c r="R72" s="50"/>
      <c r="S72" s="50"/>
      <c r="T72" s="50"/>
      <c r="U72" s="50"/>
      <c r="V72" s="50"/>
      <c r="W72" s="50"/>
      <c r="X72" s="50"/>
      <c r="Y72" s="50"/>
      <c r="Z72" s="50"/>
      <c r="AA72" s="50"/>
      <c r="AB72" s="50"/>
      <c r="AC72" s="50"/>
      <c r="AD72" s="50"/>
      <c r="AE72" s="50"/>
      <c r="AF72" s="50"/>
      <c r="AG72" s="50"/>
      <c r="AH72" s="50"/>
      <c r="AI72" s="50"/>
      <c r="AJ72" s="50"/>
      <c r="AK72" s="50"/>
      <c r="AL72" s="50"/>
      <c r="AM72" s="50"/>
      <c r="AN72" s="50"/>
      <c r="AO72" s="50"/>
      <c r="AP72" s="50"/>
      <c r="AQ72" s="50"/>
      <c r="AR72" s="50"/>
      <c r="AS72" s="50"/>
      <c r="AT72" s="50"/>
      <c r="AU72" s="50"/>
      <c r="AV72" s="50"/>
      <c r="AW72" s="50"/>
      <c r="AX72" s="50"/>
      <c r="AY72" s="50"/>
      <c r="AZ72" s="50"/>
      <c r="BA72" s="50"/>
      <c r="BB72" s="50"/>
      <c r="BC72" s="50"/>
      <c r="BD72" s="50"/>
      <c r="BE72" s="50"/>
      <c r="BF72" s="50"/>
      <c r="BG72" s="50"/>
      <c r="BH72" s="50"/>
      <c r="BI72" s="50"/>
      <c r="BJ72" s="50"/>
      <c r="BK72" s="50"/>
      <c r="BL72" s="50"/>
      <c r="BM72" s="50"/>
      <c r="BN72" s="50"/>
      <c r="BO72" s="50"/>
      <c r="BP72" s="50"/>
      <c r="BQ72" s="50"/>
      <c r="BR72" s="50"/>
      <c r="BS72" s="50"/>
      <c r="BT72" s="50"/>
      <c r="BU72" s="50"/>
      <c r="BV72" s="50"/>
      <c r="BW72" s="50"/>
      <c r="BX72" s="50"/>
      <c r="BY72" s="50"/>
      <c r="BZ72" s="50"/>
      <c r="CA72" s="50"/>
      <c r="CB72" s="50"/>
      <c r="CC72" s="50"/>
      <c r="CD72" s="50"/>
      <c r="CE72" s="50"/>
      <c r="CF72" s="50"/>
      <c r="CG72" s="50"/>
      <c r="CH72" s="50"/>
      <c r="CI72" s="50"/>
      <c r="CJ72" s="50"/>
      <c r="CK72" s="50"/>
      <c r="CL72" s="50"/>
      <c r="CM72" s="50"/>
      <c r="CN72" s="50"/>
      <c r="CO72" s="50"/>
      <c r="CP72" s="50"/>
      <c r="CQ72" s="50"/>
      <c r="CR72" s="50"/>
      <c r="CS72" s="50"/>
      <c r="CT72" s="50"/>
      <c r="CU72" s="50"/>
      <c r="CV72" s="50"/>
      <c r="CW72" s="50"/>
      <c r="CX72" s="50"/>
      <c r="CY72" s="50"/>
      <c r="CZ72" s="50"/>
      <c r="DA72" s="50"/>
      <c r="DB72" s="50"/>
      <c r="DC72" s="50"/>
      <c r="DD72" s="50"/>
      <c r="DE72" s="50"/>
      <c r="DF72" s="50"/>
      <c r="DG72" s="50"/>
      <c r="DH72" s="50"/>
      <c r="DI72" s="50"/>
      <c r="DJ72" s="50"/>
      <c r="DK72" s="50"/>
      <c r="DL72" s="50"/>
      <c r="DM72" s="50"/>
      <c r="DN72" s="50"/>
      <c r="DO72" s="50"/>
      <c r="DP72" s="50"/>
      <c r="DQ72" s="50"/>
      <c r="DR72" s="50"/>
      <c r="DS72" s="50"/>
      <c r="DT72" s="50"/>
      <c r="DU72" s="50"/>
      <c r="DV72" s="50"/>
      <c r="DW72" s="50"/>
      <c r="DX72" s="50"/>
      <c r="DY72" s="50"/>
      <c r="DZ72" s="50"/>
      <c r="EA72" s="50"/>
      <c r="EB72" s="50"/>
      <c r="EC72" s="50"/>
      <c r="ED72" s="50"/>
      <c r="EE72" s="50"/>
      <c r="EF72" s="50"/>
      <c r="EG72" s="50"/>
      <c r="EH72" s="50"/>
      <c r="EI72" s="50"/>
      <c r="EJ72" s="50"/>
      <c r="EK72" s="50"/>
      <c r="EL72" s="50"/>
      <c r="EM72" s="50"/>
      <c r="EN72" s="50"/>
      <c r="EO72" s="50"/>
      <c r="EP72" s="50"/>
      <c r="EQ72" s="50"/>
      <c r="ER72" s="50"/>
      <c r="ES72" s="50"/>
      <c r="ET72" s="50"/>
      <c r="EU72" s="50"/>
      <c r="EV72" s="50"/>
      <c r="EW72" s="50"/>
      <c r="EX72" s="50"/>
      <c r="EY72" s="50"/>
      <c r="EZ72" s="50"/>
      <c r="FA72" s="50"/>
      <c r="FB72" s="50"/>
      <c r="FC72" s="50"/>
      <c r="FD72" s="50"/>
      <c r="FE72" s="50"/>
      <c r="FF72" s="50"/>
      <c r="FG72" s="50"/>
      <c r="FH72" s="50"/>
      <c r="FI72" s="50"/>
      <c r="FJ72" s="50"/>
      <c r="FK72" s="50"/>
      <c r="FL72" s="50"/>
      <c r="FM72" s="50"/>
      <c r="FN72" s="50"/>
      <c r="FO72" s="50"/>
      <c r="FP72" s="50"/>
      <c r="FQ72" s="50"/>
      <c r="FR72" s="50"/>
      <c r="FS72" s="50"/>
      <c r="FT72" s="50"/>
      <c r="FU72" s="50"/>
      <c r="FV72" s="50"/>
      <c r="FW72" s="50"/>
      <c r="FX72" s="50"/>
      <c r="FY72" s="50"/>
      <c r="FZ72" s="50"/>
      <c r="GA72" s="50"/>
      <c r="GB72" s="50"/>
      <c r="GC72" s="50"/>
      <c r="GD72" s="50"/>
      <c r="GE72" s="50"/>
      <c r="GF72" s="50"/>
      <c r="GG72" s="50"/>
      <c r="GH72" s="50"/>
      <c r="GI72" s="50"/>
      <c r="GJ72" s="50"/>
      <c r="GK72" s="50"/>
      <c r="GL72" s="50"/>
      <c r="GM72" s="50"/>
      <c r="GN72" s="50"/>
      <c r="GO72" s="50"/>
      <c r="GP72" s="50"/>
      <c r="GQ72" s="50"/>
      <c r="GR72" s="50"/>
      <c r="GS72" s="50"/>
      <c r="GT72" s="50"/>
      <c r="GU72" s="50"/>
      <c r="GV72" s="50"/>
      <c r="GW72" s="50"/>
      <c r="GX72" s="50"/>
      <c r="GY72" s="50"/>
      <c r="GZ72" s="50"/>
      <c r="HA72" s="50"/>
      <c r="HB72" s="50"/>
      <c r="HC72" s="50"/>
      <c r="HD72" s="50"/>
      <c r="HE72" s="50"/>
      <c r="HF72" s="50"/>
      <c r="HG72" s="50"/>
      <c r="HH72" s="50"/>
      <c r="HI72" s="50"/>
      <c r="HJ72" s="50"/>
      <c r="HK72" s="50"/>
      <c r="HL72" s="50"/>
      <c r="HM72" s="50"/>
      <c r="HN72" s="50"/>
      <c r="HO72" s="50"/>
      <c r="HP72" s="50"/>
      <c r="HQ72" s="50"/>
      <c r="HR72" s="50"/>
      <c r="HS72" s="50"/>
      <c r="HT72" s="50"/>
      <c r="HU72" s="50"/>
      <c r="HV72" s="50"/>
      <c r="HW72" s="50"/>
      <c r="HX72" s="50"/>
      <c r="HY72" s="50"/>
      <c r="HZ72" s="50"/>
      <c r="IA72" s="50"/>
      <c r="IB72" s="50"/>
      <c r="IC72" s="50"/>
      <c r="ID72" s="50"/>
      <c r="IE72" s="50"/>
      <c r="IF72" s="50"/>
      <c r="IG72" s="50"/>
      <c r="IH72" s="50"/>
      <c r="II72" s="50"/>
      <c r="IJ72" s="50"/>
      <c r="IK72" s="50"/>
      <c r="IL72" s="50"/>
      <c r="IM72" s="50"/>
      <c r="IN72" s="50"/>
      <c r="IO72" s="50"/>
      <c r="IP72" s="50"/>
      <c r="IQ72" s="50"/>
      <c r="IR72" s="50"/>
      <c r="IS72" s="50"/>
      <c r="IT72" s="50"/>
      <c r="IU72" s="50"/>
      <c r="IV72" s="50"/>
    </row>
    <row r="73" spans="1:256" ht="22.5" customHeight="1" thickBot="1" x14ac:dyDescent="0.35">
      <c r="A73" s="1403">
        <v>64</v>
      </c>
      <c r="B73" s="1543" t="s">
        <v>737</v>
      </c>
      <c r="C73" s="1560"/>
      <c r="D73" s="1561" t="s">
        <v>756</v>
      </c>
      <c r="E73" s="1562">
        <f>E72+E70+E68+E66+E64+E50+E52+E41+E39+E32+E17+E43</f>
        <v>4571347</v>
      </c>
      <c r="F73" s="1"/>
      <c r="G73" s="1"/>
      <c r="H73" s="1"/>
      <c r="I73" s="1"/>
      <c r="J73" s="1"/>
      <c r="K73" s="1"/>
      <c r="L73" s="1"/>
      <c r="M73" s="1"/>
      <c r="N73" s="1"/>
      <c r="O73" s="1"/>
      <c r="P73" s="1"/>
      <c r="Q73" s="1"/>
      <c r="R73" s="1"/>
      <c r="S73" s="1"/>
      <c r="T73" s="1"/>
      <c r="U73" s="1"/>
      <c r="V73" s="1"/>
      <c r="W73" s="1"/>
      <c r="X73" s="1"/>
      <c r="Y73" s="1"/>
      <c r="Z73" s="1"/>
      <c r="AA73" s="1"/>
      <c r="AB73" s="1"/>
      <c r="AC73" s="1"/>
      <c r="AD73" s="1"/>
      <c r="AE73" s="1"/>
      <c r="AF73" s="1"/>
      <c r="AG73" s="1"/>
      <c r="AH73" s="1"/>
      <c r="AI73" s="1"/>
      <c r="AJ73" s="1"/>
      <c r="AK73" s="1"/>
      <c r="AL73" s="1"/>
      <c r="AM73" s="1"/>
      <c r="AN73" s="1"/>
      <c r="AO73" s="1"/>
      <c r="AP73" s="1"/>
      <c r="AQ73" s="1"/>
      <c r="AR73" s="1"/>
      <c r="AS73" s="1"/>
      <c r="AT73" s="1"/>
      <c r="AU73" s="1"/>
      <c r="AV73" s="1"/>
      <c r="AW73" s="1"/>
      <c r="AX73" s="1"/>
      <c r="AY73" s="1"/>
      <c r="AZ73" s="1"/>
      <c r="BA73" s="1"/>
      <c r="BB73" s="1"/>
      <c r="BC73" s="1"/>
      <c r="BD73" s="1"/>
      <c r="BE73" s="1"/>
      <c r="BF73" s="1"/>
      <c r="BG73" s="1"/>
      <c r="BH73" s="1"/>
      <c r="BI73" s="1"/>
      <c r="BJ73" s="1"/>
      <c r="BK73" s="1"/>
      <c r="BL73" s="1"/>
      <c r="BM73" s="1"/>
      <c r="BN73" s="1"/>
      <c r="BO73" s="1"/>
      <c r="BP73" s="1"/>
      <c r="BQ73" s="1"/>
      <c r="BR73" s="1"/>
      <c r="BS73" s="1"/>
      <c r="BT73" s="1"/>
      <c r="BU73" s="1"/>
      <c r="BV73" s="1"/>
      <c r="BW73" s="1"/>
      <c r="BX73" s="1"/>
      <c r="BY73" s="1"/>
      <c r="BZ73" s="1"/>
      <c r="CA73" s="1"/>
      <c r="CB73" s="1"/>
      <c r="CC73" s="1"/>
      <c r="CD73" s="1"/>
      <c r="CE73" s="1"/>
      <c r="CF73" s="1"/>
      <c r="CG73" s="1"/>
      <c r="CH73" s="1"/>
      <c r="CI73" s="1"/>
      <c r="CJ73" s="1"/>
      <c r="CK73" s="1"/>
      <c r="CL73" s="1"/>
      <c r="CM73" s="1"/>
      <c r="CN73" s="1"/>
      <c r="CO73" s="1"/>
      <c r="CP73" s="1"/>
      <c r="CQ73" s="1"/>
      <c r="CR73" s="1"/>
      <c r="CS73" s="1"/>
      <c r="CT73" s="1"/>
      <c r="CU73" s="1"/>
      <c r="CV73" s="1"/>
      <c r="CW73" s="1"/>
      <c r="CX73" s="1"/>
      <c r="CY73" s="1"/>
      <c r="CZ73" s="1"/>
      <c r="DA73" s="1"/>
      <c r="DB73" s="1"/>
      <c r="DC73" s="1"/>
      <c r="DD73" s="1"/>
      <c r="DE73" s="1"/>
      <c r="DF73" s="1"/>
      <c r="DG73" s="1"/>
      <c r="DH73" s="1"/>
      <c r="DI73" s="1"/>
      <c r="DJ73" s="1"/>
      <c r="DK73" s="1"/>
      <c r="DL73" s="1"/>
      <c r="DM73" s="1"/>
      <c r="DN73" s="1"/>
      <c r="DO73" s="1"/>
      <c r="DP73" s="1"/>
      <c r="DQ73" s="1"/>
      <c r="DR73" s="1"/>
      <c r="DS73" s="1"/>
      <c r="DT73" s="1"/>
      <c r="DU73" s="1"/>
      <c r="DV73" s="1"/>
      <c r="DW73" s="1"/>
      <c r="DX73" s="1"/>
      <c r="DY73" s="1"/>
      <c r="DZ73" s="1"/>
      <c r="EA73" s="1"/>
      <c r="EB73" s="1"/>
      <c r="EC73" s="1"/>
      <c r="ED73" s="1"/>
      <c r="EE73" s="1"/>
      <c r="EF73" s="1"/>
      <c r="EG73" s="1"/>
      <c r="EH73" s="1"/>
      <c r="EI73" s="1"/>
      <c r="EJ73" s="1"/>
      <c r="EK73" s="1"/>
      <c r="EL73" s="1"/>
      <c r="EM73" s="1"/>
      <c r="EN73" s="1"/>
      <c r="EO73" s="1"/>
      <c r="EP73" s="1"/>
      <c r="EQ73" s="1"/>
      <c r="ER73" s="1"/>
      <c r="ES73" s="1"/>
      <c r="ET73" s="1"/>
      <c r="EU73" s="1"/>
      <c r="EV73" s="1"/>
      <c r="EW73" s="1"/>
      <c r="EX73" s="1"/>
      <c r="EY73" s="1"/>
      <c r="EZ73" s="1"/>
      <c r="FA73" s="1"/>
      <c r="FB73" s="1"/>
      <c r="FC73" s="1"/>
      <c r="FD73" s="1"/>
      <c r="FE73" s="1"/>
      <c r="FF73" s="1"/>
      <c r="FG73" s="1"/>
      <c r="FH73" s="1"/>
      <c r="FI73" s="1"/>
      <c r="FJ73" s="1"/>
      <c r="FK73" s="1"/>
      <c r="FL73" s="1"/>
      <c r="FM73" s="1"/>
      <c r="FN73" s="1"/>
      <c r="FO73" s="1"/>
      <c r="FP73" s="1"/>
      <c r="FQ73" s="1"/>
      <c r="FR73" s="1"/>
      <c r="FS73" s="1"/>
      <c r="FT73" s="1"/>
      <c r="FU73" s="1"/>
      <c r="FV73" s="1"/>
      <c r="FW73" s="1"/>
      <c r="FX73" s="1"/>
      <c r="FY73" s="1"/>
      <c r="FZ73" s="1"/>
      <c r="GA73" s="1"/>
      <c r="GB73" s="1"/>
      <c r="GC73" s="1"/>
      <c r="GD73" s="1"/>
      <c r="GE73" s="1"/>
      <c r="GF73" s="1"/>
      <c r="GG73" s="1"/>
      <c r="GH73" s="1"/>
      <c r="GI73" s="1"/>
      <c r="GJ73" s="1"/>
      <c r="GK73" s="1"/>
      <c r="GL73" s="1"/>
      <c r="GM73" s="1"/>
      <c r="GN73" s="1"/>
      <c r="GO73" s="1"/>
      <c r="GP73" s="1"/>
      <c r="GQ73" s="1"/>
      <c r="GR73" s="1"/>
      <c r="GS73" s="1"/>
      <c r="GT73" s="1"/>
      <c r="GU73" s="1"/>
      <c r="GV73" s="1"/>
      <c r="GW73" s="1"/>
      <c r="GX73" s="1"/>
      <c r="GY73" s="1"/>
      <c r="GZ73" s="1"/>
      <c r="HA73" s="1"/>
      <c r="HB73" s="1"/>
      <c r="HC73" s="1"/>
      <c r="HD73" s="1"/>
      <c r="HE73" s="1"/>
      <c r="HF73" s="1"/>
      <c r="HG73" s="1"/>
      <c r="HH73" s="1"/>
      <c r="HI73" s="1"/>
      <c r="HJ73" s="1"/>
      <c r="HK73" s="1"/>
      <c r="HL73" s="1"/>
      <c r="HM73" s="1"/>
      <c r="HN73" s="1"/>
      <c r="HO73" s="1"/>
      <c r="HP73" s="1"/>
      <c r="HQ73" s="1"/>
      <c r="HR73" s="1"/>
      <c r="HS73" s="1"/>
      <c r="HT73" s="1"/>
      <c r="HU73" s="1"/>
      <c r="HV73" s="1"/>
      <c r="HW73" s="1"/>
      <c r="HX73" s="1"/>
      <c r="HY73" s="1"/>
      <c r="HZ73" s="1"/>
      <c r="IA73" s="1"/>
      <c r="IB73" s="1"/>
      <c r="IC73" s="1"/>
      <c r="ID73" s="1"/>
      <c r="IE73" s="1"/>
      <c r="IF73" s="1"/>
      <c r="IG73" s="1"/>
      <c r="IH73" s="1"/>
      <c r="II73" s="1"/>
      <c r="IJ73" s="1"/>
      <c r="IK73" s="1"/>
      <c r="IL73" s="1"/>
      <c r="IM73" s="1"/>
      <c r="IN73" s="1"/>
      <c r="IO73" s="1"/>
      <c r="IP73" s="1"/>
      <c r="IQ73" s="1"/>
      <c r="IR73" s="1"/>
      <c r="IS73" s="1"/>
      <c r="IT73" s="1"/>
      <c r="IU73" s="1"/>
      <c r="IV73" s="1"/>
    </row>
    <row r="74" spans="1:256" ht="24.75" customHeight="1" x14ac:dyDescent="0.35">
      <c r="A74" s="1403">
        <v>65</v>
      </c>
      <c r="B74" s="64" t="s">
        <v>757</v>
      </c>
      <c r="C74" s="1405"/>
      <c r="D74" s="1406" t="s">
        <v>758</v>
      </c>
    </row>
    <row r="75" spans="1:256" ht="22.5" customHeight="1" x14ac:dyDescent="0.35">
      <c r="A75" s="1403">
        <v>66</v>
      </c>
      <c r="B75" s="64"/>
      <c r="C75" s="1407" t="s">
        <v>739</v>
      </c>
      <c r="D75" s="1563" t="s">
        <v>759</v>
      </c>
    </row>
    <row r="76" spans="1:256" ht="19.5" customHeight="1" x14ac:dyDescent="0.35">
      <c r="A76" s="1403">
        <v>67</v>
      </c>
      <c r="C76" s="1412"/>
      <c r="D76" s="1564" t="s">
        <v>760</v>
      </c>
    </row>
    <row r="77" spans="1:256" ht="24.75" customHeight="1" x14ac:dyDescent="0.35">
      <c r="A77" s="1403">
        <v>68</v>
      </c>
      <c r="C77" s="1412"/>
      <c r="D77" s="1406" t="s">
        <v>761</v>
      </c>
      <c r="G77" s="2"/>
    </row>
    <row r="78" spans="1:256" ht="17.25" customHeight="1" x14ac:dyDescent="0.3">
      <c r="A78" s="1403">
        <v>69</v>
      </c>
      <c r="C78" s="1412"/>
      <c r="D78" s="1556" t="s">
        <v>883</v>
      </c>
      <c r="E78" s="2">
        <v>17922</v>
      </c>
      <c r="G78" s="2"/>
    </row>
    <row r="79" spans="1:256" ht="33.75" customHeight="1" x14ac:dyDescent="0.3">
      <c r="A79" s="1403">
        <v>70</v>
      </c>
      <c r="C79" s="1412"/>
      <c r="D79" s="1556" t="s">
        <v>884</v>
      </c>
      <c r="E79" s="958">
        <v>3911</v>
      </c>
    </row>
    <row r="80" spans="1:256" ht="18" customHeight="1" x14ac:dyDescent="0.35">
      <c r="A80" s="1403">
        <v>71</v>
      </c>
      <c r="C80" s="1412"/>
      <c r="D80" s="1406" t="s">
        <v>378</v>
      </c>
      <c r="E80" s="958">
        <f>3030+1240</f>
        <v>4270</v>
      </c>
    </row>
    <row r="81" spans="1:5" ht="18" customHeight="1" x14ac:dyDescent="0.35">
      <c r="A81" s="1403">
        <v>72</v>
      </c>
      <c r="C81" s="1412"/>
      <c r="D81" s="1406" t="s">
        <v>898</v>
      </c>
      <c r="E81" s="958">
        <v>-400</v>
      </c>
    </row>
    <row r="82" spans="1:5" ht="32.25" customHeight="1" x14ac:dyDescent="0.35">
      <c r="A82" s="1403">
        <v>73</v>
      </c>
      <c r="C82" s="1412"/>
      <c r="D82" s="1406" t="s">
        <v>507</v>
      </c>
      <c r="E82" s="958">
        <v>-1698</v>
      </c>
    </row>
    <row r="83" spans="1:5" ht="17.25" hidden="1" customHeight="1" x14ac:dyDescent="0.35">
      <c r="A83" s="1403">
        <v>74</v>
      </c>
      <c r="C83" s="1412"/>
      <c r="D83" s="1406" t="s">
        <v>835</v>
      </c>
    </row>
    <row r="84" spans="1:5" ht="17.25" hidden="1" customHeight="1" x14ac:dyDescent="0.3">
      <c r="A84" s="1403">
        <v>75</v>
      </c>
      <c r="C84" s="1412"/>
      <c r="D84" s="1556" t="s">
        <v>906</v>
      </c>
      <c r="E84" s="2">
        <v>-592</v>
      </c>
    </row>
    <row r="85" spans="1:5" ht="18" customHeight="1" x14ac:dyDescent="0.3">
      <c r="A85" s="1403">
        <v>76</v>
      </c>
      <c r="C85" s="1412"/>
      <c r="D85" s="1556" t="s">
        <v>907</v>
      </c>
      <c r="E85" s="2">
        <f>592+650</f>
        <v>1242</v>
      </c>
    </row>
    <row r="86" spans="1:5" ht="18" customHeight="1" x14ac:dyDescent="0.35">
      <c r="A86" s="1403">
        <v>77</v>
      </c>
      <c r="C86" s="1412"/>
      <c r="D86" s="1406" t="s">
        <v>1139</v>
      </c>
      <c r="E86" s="958"/>
    </row>
    <row r="87" spans="1:5" ht="18" customHeight="1" x14ac:dyDescent="0.3">
      <c r="A87" s="1403">
        <v>78</v>
      </c>
      <c r="C87" s="1412"/>
      <c r="D87" s="1556" t="s">
        <v>1088</v>
      </c>
      <c r="E87" s="958">
        <v>-11350</v>
      </c>
    </row>
    <row r="88" spans="1:5" ht="18" customHeight="1" x14ac:dyDescent="0.3">
      <c r="A88" s="1403">
        <v>79</v>
      </c>
      <c r="C88" s="1412"/>
      <c r="D88" s="1556" t="s">
        <v>1089</v>
      </c>
      <c r="E88" s="958">
        <v>9000</v>
      </c>
    </row>
    <row r="89" spans="1:5" ht="18" customHeight="1" x14ac:dyDescent="0.35">
      <c r="A89" s="1403">
        <v>80</v>
      </c>
      <c r="C89" s="1412"/>
      <c r="D89" s="1406" t="s">
        <v>1090</v>
      </c>
      <c r="E89" s="958">
        <v>1000</v>
      </c>
    </row>
    <row r="90" spans="1:5" ht="18" customHeight="1" x14ac:dyDescent="0.35">
      <c r="A90" s="1403">
        <v>81</v>
      </c>
      <c r="C90" s="1412"/>
      <c r="D90" s="1406" t="s">
        <v>715</v>
      </c>
      <c r="E90" s="958">
        <v>1350</v>
      </c>
    </row>
    <row r="91" spans="1:5" ht="18" customHeight="1" x14ac:dyDescent="0.35">
      <c r="A91" s="1403">
        <v>82</v>
      </c>
      <c r="C91" s="1412"/>
      <c r="D91" s="1406" t="s">
        <v>689</v>
      </c>
      <c r="E91" s="958"/>
    </row>
    <row r="92" spans="1:5" ht="33" customHeight="1" x14ac:dyDescent="0.3">
      <c r="A92" s="1403">
        <v>83</v>
      </c>
      <c r="C92" s="1412"/>
      <c r="D92" s="1556" t="s">
        <v>963</v>
      </c>
      <c r="E92" s="958">
        <v>-192</v>
      </c>
    </row>
    <row r="93" spans="1:5" ht="18" customHeight="1" x14ac:dyDescent="0.3">
      <c r="A93" s="1403">
        <v>84</v>
      </c>
      <c r="C93" s="1412"/>
      <c r="D93" s="1556" t="s">
        <v>964</v>
      </c>
      <c r="E93" s="958">
        <v>-2000</v>
      </c>
    </row>
    <row r="94" spans="1:5" ht="18" customHeight="1" x14ac:dyDescent="0.35">
      <c r="A94" s="1403">
        <v>85</v>
      </c>
      <c r="C94" s="1412"/>
      <c r="D94" s="1406" t="s">
        <v>965</v>
      </c>
      <c r="E94" s="958">
        <v>2000</v>
      </c>
    </row>
    <row r="95" spans="1:5" ht="36.75" customHeight="1" x14ac:dyDescent="0.3">
      <c r="A95" s="1403">
        <v>86</v>
      </c>
      <c r="C95" s="1412"/>
      <c r="D95" s="1406" t="s">
        <v>998</v>
      </c>
      <c r="E95" s="958">
        <v>-3000</v>
      </c>
    </row>
    <row r="96" spans="1:5" ht="18" customHeight="1" x14ac:dyDescent="0.35">
      <c r="A96" s="1403">
        <v>87</v>
      </c>
      <c r="C96" s="1412"/>
      <c r="D96" s="1406" t="s">
        <v>1107</v>
      </c>
      <c r="E96" s="958">
        <v>1560</v>
      </c>
    </row>
    <row r="97" spans="1:12" ht="18" customHeight="1" x14ac:dyDescent="0.35">
      <c r="A97" s="1403">
        <v>88</v>
      </c>
      <c r="C97" s="1412"/>
      <c r="D97" s="1406" t="s">
        <v>287</v>
      </c>
      <c r="E97" s="958">
        <v>10000</v>
      </c>
    </row>
    <row r="98" spans="1:12" ht="18" customHeight="1" x14ac:dyDescent="0.35">
      <c r="A98" s="1403">
        <v>89</v>
      </c>
      <c r="C98" s="1412"/>
      <c r="D98" s="1406" t="s">
        <v>1108</v>
      </c>
      <c r="E98" s="958">
        <v>5000</v>
      </c>
    </row>
    <row r="99" spans="1:12" ht="18" customHeight="1" x14ac:dyDescent="0.35">
      <c r="A99" s="1403">
        <v>90</v>
      </c>
      <c r="C99" s="1412"/>
      <c r="D99" s="1406" t="s">
        <v>41</v>
      </c>
      <c r="E99" s="958"/>
    </row>
    <row r="100" spans="1:12" ht="18" customHeight="1" x14ac:dyDescent="0.3">
      <c r="A100" s="1403">
        <v>91</v>
      </c>
      <c r="C100" s="1412"/>
      <c r="D100" s="1556" t="s">
        <v>899</v>
      </c>
      <c r="E100" s="958">
        <v>-4353</v>
      </c>
    </row>
    <row r="101" spans="1:12" ht="18" customHeight="1" x14ac:dyDescent="0.3">
      <c r="A101" s="1403">
        <v>92</v>
      </c>
      <c r="C101" s="1412"/>
      <c r="D101" s="1556" t="s">
        <v>1122</v>
      </c>
      <c r="E101" s="958">
        <v>4353</v>
      </c>
    </row>
    <row r="102" spans="1:12" ht="18" customHeight="1" x14ac:dyDescent="0.35">
      <c r="A102" s="1403">
        <v>93</v>
      </c>
      <c r="C102" s="1412"/>
      <c r="D102" s="1406" t="s">
        <v>1133</v>
      </c>
      <c r="E102" s="958"/>
    </row>
    <row r="103" spans="1:12" ht="18" customHeight="1" x14ac:dyDescent="0.3">
      <c r="A103" s="1403">
        <v>94</v>
      </c>
      <c r="C103" s="1412"/>
      <c r="D103" s="1556" t="s">
        <v>1134</v>
      </c>
      <c r="E103" s="958">
        <v>-5000</v>
      </c>
    </row>
    <row r="104" spans="1:12" ht="18" customHeight="1" x14ac:dyDescent="0.3">
      <c r="A104" s="1403">
        <v>95</v>
      </c>
      <c r="C104" s="1412"/>
      <c r="D104" s="1556" t="s">
        <v>1135</v>
      </c>
      <c r="E104" s="958">
        <v>5000</v>
      </c>
    </row>
    <row r="105" spans="1:12" ht="18" customHeight="1" x14ac:dyDescent="0.35">
      <c r="A105" s="1403">
        <v>96</v>
      </c>
      <c r="C105" s="1412"/>
      <c r="D105" s="1816" t="s">
        <v>1031</v>
      </c>
      <c r="E105" s="958">
        <v>-7000</v>
      </c>
    </row>
    <row r="106" spans="1:12" ht="18" customHeight="1" x14ac:dyDescent="0.35">
      <c r="A106" s="1403">
        <v>97</v>
      </c>
      <c r="C106" s="1412"/>
      <c r="D106" s="1406" t="s">
        <v>1105</v>
      </c>
      <c r="E106" s="958"/>
    </row>
    <row r="107" spans="1:12" ht="18" customHeight="1" x14ac:dyDescent="0.3">
      <c r="A107" s="1403">
        <v>98</v>
      </c>
      <c r="C107" s="1412"/>
      <c r="D107" s="1556" t="s">
        <v>1106</v>
      </c>
      <c r="E107" s="958">
        <v>2849</v>
      </c>
    </row>
    <row r="108" spans="1:12" ht="18" customHeight="1" x14ac:dyDescent="0.35">
      <c r="A108" s="1403">
        <v>99</v>
      </c>
      <c r="C108" s="1412"/>
      <c r="D108" s="1406" t="s">
        <v>1136</v>
      </c>
      <c r="E108" s="958">
        <v>3300</v>
      </c>
    </row>
    <row r="109" spans="1:12" ht="18" customHeight="1" x14ac:dyDescent="0.35">
      <c r="A109" s="1403">
        <v>100</v>
      </c>
      <c r="C109" s="1412"/>
      <c r="D109" s="1563" t="s">
        <v>377</v>
      </c>
      <c r="E109" s="958"/>
    </row>
    <row r="110" spans="1:12" ht="18" customHeight="1" x14ac:dyDescent="0.3">
      <c r="A110" s="1403">
        <v>101</v>
      </c>
      <c r="C110" s="1412"/>
      <c r="D110" s="1413" t="s">
        <v>1054</v>
      </c>
      <c r="E110" s="958"/>
    </row>
    <row r="111" spans="1:12" ht="18" customHeight="1" x14ac:dyDescent="0.3">
      <c r="A111" s="1403">
        <v>102</v>
      </c>
      <c r="C111" s="1412"/>
      <c r="D111" s="1556" t="s">
        <v>1042</v>
      </c>
      <c r="E111" s="958">
        <v>-900</v>
      </c>
    </row>
    <row r="112" spans="1:12" ht="18" customHeight="1" x14ac:dyDescent="0.35">
      <c r="A112" s="1403">
        <v>103</v>
      </c>
      <c r="C112" s="1412"/>
      <c r="D112" s="1813" t="s">
        <v>1055</v>
      </c>
      <c r="E112" s="958">
        <v>600</v>
      </c>
      <c r="F112" s="1813"/>
      <c r="G112" s="1813"/>
      <c r="H112" s="1813"/>
      <c r="I112" s="1813"/>
      <c r="J112" s="1813"/>
      <c r="K112" s="1813"/>
      <c r="L112" s="1813"/>
    </row>
    <row r="113" spans="1:12" ht="18" customHeight="1" x14ac:dyDescent="0.3">
      <c r="A113" s="1403">
        <v>104</v>
      </c>
      <c r="C113" s="1412"/>
      <c r="D113" s="1413" t="s">
        <v>1050</v>
      </c>
      <c r="E113" s="958"/>
    </row>
    <row r="114" spans="1:12" ht="18" customHeight="1" x14ac:dyDescent="0.3">
      <c r="A114" s="1403">
        <v>105</v>
      </c>
      <c r="C114" s="1412"/>
      <c r="D114" s="1556" t="s">
        <v>1042</v>
      </c>
      <c r="E114" s="958">
        <v>-600</v>
      </c>
    </row>
    <row r="115" spans="1:12" ht="32.25" customHeight="1" x14ac:dyDescent="0.3">
      <c r="A115" s="1403">
        <v>106</v>
      </c>
      <c r="C115" s="1412"/>
      <c r="D115" s="1556" t="s">
        <v>1128</v>
      </c>
      <c r="E115" s="958">
        <v>300</v>
      </c>
    </row>
    <row r="116" spans="1:12" ht="18" customHeight="1" x14ac:dyDescent="0.3">
      <c r="A116" s="1403">
        <v>107</v>
      </c>
      <c r="C116" s="1412"/>
      <c r="D116" s="1413" t="s">
        <v>1091</v>
      </c>
      <c r="E116" s="958"/>
    </row>
    <row r="117" spans="1:12" ht="18" customHeight="1" x14ac:dyDescent="0.3">
      <c r="A117" s="1403">
        <v>108</v>
      </c>
      <c r="C117" s="1412"/>
      <c r="D117" s="1556" t="s">
        <v>1042</v>
      </c>
      <c r="E117" s="958">
        <v>-1150</v>
      </c>
    </row>
    <row r="118" spans="1:12" ht="18" customHeight="1" x14ac:dyDescent="0.3">
      <c r="A118" s="1403">
        <v>109</v>
      </c>
      <c r="C118" s="1412"/>
      <c r="D118" s="1556" t="s">
        <v>1096</v>
      </c>
      <c r="E118" s="958">
        <v>100</v>
      </c>
      <c r="F118" s="1556"/>
      <c r="G118" s="1556"/>
      <c r="H118" s="1556"/>
      <c r="I118" s="1556"/>
      <c r="J118" s="1556"/>
      <c r="K118" s="1556"/>
      <c r="L118" s="1556"/>
    </row>
    <row r="119" spans="1:12" ht="18" customHeight="1" x14ac:dyDescent="0.35">
      <c r="A119" s="1403">
        <v>110</v>
      </c>
      <c r="C119" s="1412"/>
      <c r="D119" s="1813" t="s">
        <v>1092</v>
      </c>
      <c r="E119" s="958">
        <v>200</v>
      </c>
      <c r="F119" s="1813"/>
      <c r="G119" s="1813"/>
      <c r="H119" s="1813"/>
      <c r="I119" s="1813"/>
      <c r="J119" s="1813"/>
      <c r="K119" s="1813"/>
      <c r="L119" s="1813"/>
    </row>
    <row r="120" spans="1:12" ht="18" customHeight="1" x14ac:dyDescent="0.35">
      <c r="A120" s="1403">
        <v>111</v>
      </c>
      <c r="C120" s="1412"/>
      <c r="D120" s="1813" t="s">
        <v>1093</v>
      </c>
      <c r="E120" s="958">
        <v>200</v>
      </c>
      <c r="F120" s="1813"/>
      <c r="G120" s="1813"/>
      <c r="H120" s="1813"/>
      <c r="I120" s="1813"/>
      <c r="J120" s="1813"/>
      <c r="K120" s="1813"/>
      <c r="L120" s="1813"/>
    </row>
    <row r="121" spans="1:12" ht="18" customHeight="1" x14ac:dyDescent="0.35">
      <c r="A121" s="1403">
        <v>112</v>
      </c>
      <c r="C121" s="1412"/>
      <c r="D121" s="1813" t="s">
        <v>1094</v>
      </c>
      <c r="E121" s="958">
        <v>100</v>
      </c>
      <c r="F121" s="1813"/>
      <c r="G121" s="1813"/>
      <c r="H121" s="1813"/>
      <c r="I121" s="1813"/>
      <c r="J121" s="1813"/>
      <c r="K121" s="1813"/>
      <c r="L121" s="1813"/>
    </row>
    <row r="122" spans="1:12" ht="18" customHeight="1" x14ac:dyDescent="0.35">
      <c r="A122" s="1403">
        <v>113</v>
      </c>
      <c r="C122" s="1412"/>
      <c r="D122" s="1813" t="s">
        <v>1095</v>
      </c>
      <c r="E122" s="958">
        <v>100</v>
      </c>
      <c r="F122" s="1813"/>
      <c r="G122" s="1813"/>
      <c r="H122" s="1813"/>
      <c r="I122" s="1813"/>
      <c r="J122" s="1813"/>
      <c r="K122" s="1813"/>
      <c r="L122" s="1813"/>
    </row>
    <row r="123" spans="1:12" ht="18" customHeight="1" x14ac:dyDescent="0.3">
      <c r="A123" s="1403">
        <v>114</v>
      </c>
      <c r="C123" s="1412"/>
      <c r="D123" s="1413" t="s">
        <v>1041</v>
      </c>
      <c r="E123" s="958"/>
    </row>
    <row r="124" spans="1:12" ht="18" customHeight="1" x14ac:dyDescent="0.3">
      <c r="A124" s="1403">
        <v>115</v>
      </c>
      <c r="C124" s="1412"/>
      <c r="D124" s="1556" t="s">
        <v>1042</v>
      </c>
      <c r="E124" s="958">
        <v>-800</v>
      </c>
    </row>
    <row r="125" spans="1:12" ht="18" customHeight="1" x14ac:dyDescent="0.35">
      <c r="A125" s="1403">
        <v>116</v>
      </c>
      <c r="C125" s="1412"/>
      <c r="D125" s="1813" t="s">
        <v>1045</v>
      </c>
      <c r="E125" s="958">
        <v>100</v>
      </c>
      <c r="F125" s="1556"/>
      <c r="G125" s="1556"/>
      <c r="H125" s="1556"/>
      <c r="I125" s="1556"/>
      <c r="J125" s="1556"/>
      <c r="K125" s="1556"/>
      <c r="L125" s="1556"/>
    </row>
    <row r="126" spans="1:12" ht="18" customHeight="1" x14ac:dyDescent="0.35">
      <c r="A126" s="1403">
        <v>117</v>
      </c>
      <c r="C126" s="1412"/>
      <c r="D126" s="1813" t="s">
        <v>1046</v>
      </c>
      <c r="E126" s="958">
        <v>200</v>
      </c>
      <c r="F126" s="1556"/>
      <c r="G126" s="1556"/>
      <c r="H126" s="1556"/>
      <c r="I126" s="1556"/>
      <c r="J126" s="1556"/>
      <c r="K126" s="1556"/>
      <c r="L126" s="1556"/>
    </row>
    <row r="127" spans="1:12" ht="36" customHeight="1" x14ac:dyDescent="0.35">
      <c r="A127" s="1403">
        <v>118</v>
      </c>
      <c r="C127" s="1412"/>
      <c r="D127" s="1813" t="s">
        <v>1047</v>
      </c>
      <c r="E127" s="958">
        <v>150</v>
      </c>
      <c r="F127" s="1556"/>
      <c r="G127" s="1556"/>
      <c r="H127" s="1556"/>
      <c r="I127" s="1556"/>
      <c r="J127" s="1556"/>
      <c r="K127" s="1556"/>
      <c r="L127" s="1556"/>
    </row>
    <row r="128" spans="1:12" ht="18" customHeight="1" x14ac:dyDescent="0.35">
      <c r="A128" s="1403">
        <v>119</v>
      </c>
      <c r="C128" s="1412"/>
      <c r="D128" s="1813" t="s">
        <v>1048</v>
      </c>
      <c r="E128" s="958">
        <v>100</v>
      </c>
      <c r="F128" s="1556"/>
      <c r="G128" s="1556"/>
      <c r="H128" s="1556"/>
      <c r="I128" s="1556"/>
      <c r="J128" s="1556"/>
      <c r="K128" s="1556"/>
      <c r="L128" s="1556"/>
    </row>
    <row r="129" spans="1:256" ht="18" customHeight="1" x14ac:dyDescent="0.35">
      <c r="A129" s="1403">
        <v>120</v>
      </c>
      <c r="C129" s="1412"/>
      <c r="D129" s="1813" t="s">
        <v>1049</v>
      </c>
      <c r="E129" s="958">
        <v>150</v>
      </c>
      <c r="F129" s="1556"/>
      <c r="G129" s="1556"/>
      <c r="H129" s="1556"/>
      <c r="I129" s="1556"/>
      <c r="J129" s="1556"/>
      <c r="K129" s="1556"/>
      <c r="L129" s="1556"/>
    </row>
    <row r="130" spans="1:256" ht="18" customHeight="1" x14ac:dyDescent="0.3">
      <c r="A130" s="1403">
        <v>121</v>
      </c>
      <c r="C130" s="1412"/>
      <c r="D130" s="1413" t="s">
        <v>1065</v>
      </c>
      <c r="E130" s="958"/>
      <c r="F130" s="1556"/>
      <c r="G130" s="1556"/>
      <c r="H130" s="1556"/>
      <c r="I130" s="1556"/>
      <c r="J130" s="1556"/>
      <c r="K130" s="1556"/>
      <c r="L130" s="1556"/>
    </row>
    <row r="131" spans="1:256" ht="18" customHeight="1" x14ac:dyDescent="0.3">
      <c r="A131" s="1403">
        <v>122</v>
      </c>
      <c r="C131" s="1412"/>
      <c r="D131" s="1556" t="s">
        <v>1042</v>
      </c>
      <c r="E131" s="958">
        <v>-934</v>
      </c>
      <c r="F131" s="1556"/>
      <c r="G131" s="1556"/>
      <c r="H131" s="1556"/>
      <c r="I131" s="1556"/>
      <c r="J131" s="1556"/>
      <c r="K131" s="1556"/>
      <c r="L131" s="1556"/>
    </row>
    <row r="132" spans="1:256" ht="18" customHeight="1" x14ac:dyDescent="0.35">
      <c r="A132" s="1403">
        <v>123</v>
      </c>
      <c r="C132" s="1412"/>
      <c r="D132" s="1813" t="s">
        <v>1066</v>
      </c>
      <c r="E132" s="958">
        <v>-138</v>
      </c>
      <c r="F132" s="1813"/>
      <c r="G132" s="1813"/>
      <c r="H132" s="1813"/>
      <c r="I132" s="1813"/>
      <c r="J132" s="1813"/>
      <c r="K132" s="1813"/>
      <c r="L132" s="1813"/>
    </row>
    <row r="133" spans="1:256" ht="18" customHeight="1" x14ac:dyDescent="0.35">
      <c r="A133" s="1403">
        <v>124</v>
      </c>
      <c r="C133" s="1412"/>
      <c r="D133" s="1813" t="s">
        <v>1067</v>
      </c>
      <c r="E133" s="958">
        <f>262+200</f>
        <v>462</v>
      </c>
      <c r="F133" s="1813"/>
      <c r="G133" s="1813"/>
      <c r="H133" s="1813"/>
      <c r="I133" s="1813"/>
      <c r="J133" s="1813"/>
      <c r="K133" s="1813"/>
      <c r="L133" s="1813"/>
    </row>
    <row r="134" spans="1:256" ht="18" customHeight="1" x14ac:dyDescent="0.35">
      <c r="A134" s="1403">
        <v>125</v>
      </c>
      <c r="C134" s="1412"/>
      <c r="D134" s="1813" t="s">
        <v>1140</v>
      </c>
      <c r="E134" s="958">
        <v>-500</v>
      </c>
      <c r="F134" s="1813"/>
      <c r="G134" s="1813"/>
      <c r="H134" s="1813"/>
      <c r="I134" s="1813"/>
      <c r="J134" s="1813"/>
      <c r="K134" s="1813"/>
      <c r="L134" s="1813"/>
    </row>
    <row r="135" spans="1:256" ht="18" customHeight="1" x14ac:dyDescent="0.35">
      <c r="A135" s="1403">
        <v>126</v>
      </c>
      <c r="C135" s="1412"/>
      <c r="D135" s="1813" t="s">
        <v>1068</v>
      </c>
      <c r="E135" s="958">
        <v>400</v>
      </c>
      <c r="F135" s="1813"/>
      <c r="G135" s="1813"/>
      <c r="H135" s="1813"/>
      <c r="I135" s="1813"/>
      <c r="J135" s="1813"/>
      <c r="K135" s="1813"/>
      <c r="L135" s="1813"/>
    </row>
    <row r="136" spans="1:256" ht="18" customHeight="1" x14ac:dyDescent="0.3">
      <c r="A136" s="1403">
        <v>127</v>
      </c>
      <c r="C136" s="1412"/>
      <c r="D136" s="1413" t="s">
        <v>1073</v>
      </c>
      <c r="E136" s="958"/>
      <c r="F136" s="1556"/>
      <c r="G136" s="1556"/>
      <c r="H136" s="1556"/>
      <c r="I136" s="1556"/>
      <c r="J136" s="1556"/>
      <c r="K136" s="1556"/>
      <c r="L136" s="1556"/>
    </row>
    <row r="137" spans="1:256" ht="18" customHeight="1" x14ac:dyDescent="0.3">
      <c r="A137" s="1403">
        <v>128</v>
      </c>
      <c r="C137" s="1412"/>
      <c r="D137" s="1556" t="s">
        <v>1042</v>
      </c>
      <c r="E137" s="958">
        <v>-110</v>
      </c>
      <c r="F137" s="1556"/>
      <c r="G137" s="1556"/>
      <c r="H137" s="1556"/>
      <c r="I137" s="1556"/>
      <c r="J137" s="1556"/>
      <c r="K137" s="1556"/>
      <c r="L137" s="1556"/>
    </row>
    <row r="138" spans="1:256" ht="18" customHeight="1" x14ac:dyDescent="0.3">
      <c r="A138" s="1403">
        <v>129</v>
      </c>
      <c r="C138" s="1412"/>
      <c r="D138" s="1413" t="s">
        <v>1077</v>
      </c>
      <c r="E138" s="958"/>
      <c r="F138" s="1556"/>
      <c r="G138" s="1556"/>
      <c r="H138" s="1556"/>
      <c r="I138" s="1556"/>
      <c r="J138" s="1556"/>
      <c r="K138" s="1556"/>
      <c r="L138" s="1556"/>
    </row>
    <row r="139" spans="1:256" ht="18" customHeight="1" x14ac:dyDescent="0.3">
      <c r="A139" s="1403">
        <v>130</v>
      </c>
      <c r="C139" s="1412"/>
      <c r="D139" s="1556" t="s">
        <v>1042</v>
      </c>
      <c r="E139" s="958">
        <v>-1317</v>
      </c>
      <c r="F139" s="1556"/>
      <c r="G139" s="1556"/>
      <c r="H139" s="1556"/>
      <c r="I139" s="1556"/>
      <c r="J139" s="1556"/>
      <c r="K139" s="1556"/>
      <c r="L139" s="1556"/>
    </row>
    <row r="140" spans="1:256" ht="18" customHeight="1" x14ac:dyDescent="0.3">
      <c r="A140" s="1403">
        <v>131</v>
      </c>
      <c r="C140" s="1412"/>
      <c r="D140" s="1556" t="s">
        <v>1141</v>
      </c>
      <c r="E140" s="958">
        <v>1395</v>
      </c>
      <c r="F140" s="1556"/>
      <c r="G140" s="1556"/>
      <c r="H140" s="1556"/>
      <c r="I140" s="1556"/>
      <c r="J140" s="1556"/>
      <c r="K140" s="1556"/>
      <c r="L140" s="1556"/>
    </row>
    <row r="141" spans="1:256" ht="18" customHeight="1" x14ac:dyDescent="0.35">
      <c r="A141" s="1403">
        <v>132</v>
      </c>
      <c r="C141" s="1412"/>
      <c r="D141" s="1813" t="s">
        <v>1078</v>
      </c>
      <c r="E141" s="958">
        <v>43</v>
      </c>
      <c r="F141" s="1556"/>
      <c r="G141" s="1556"/>
      <c r="H141" s="1556"/>
      <c r="I141" s="1556"/>
      <c r="J141" s="1556"/>
      <c r="K141" s="1556"/>
      <c r="L141" s="1556"/>
    </row>
    <row r="142" spans="1:256" ht="18" customHeight="1" x14ac:dyDescent="0.35">
      <c r="A142" s="1403">
        <v>133</v>
      </c>
      <c r="C142" s="1412"/>
      <c r="D142" s="1813" t="s">
        <v>1079</v>
      </c>
      <c r="E142" s="1548">
        <v>100</v>
      </c>
      <c r="F142" s="1556"/>
      <c r="G142" s="1556"/>
      <c r="H142" s="1556"/>
      <c r="I142" s="1556"/>
      <c r="J142" s="1556"/>
      <c r="K142" s="1556"/>
      <c r="L142" s="1556"/>
    </row>
    <row r="143" spans="1:256" ht="19.5" customHeight="1" x14ac:dyDescent="0.3">
      <c r="A143" s="1403">
        <v>134</v>
      </c>
      <c r="C143" s="1412"/>
      <c r="D143" s="1565" t="s">
        <v>101</v>
      </c>
      <c r="E143" s="963">
        <f>SUM(E78:E142)</f>
        <v>35423</v>
      </c>
    </row>
    <row r="144" spans="1:256" ht="18" customHeight="1" x14ac:dyDescent="0.3">
      <c r="A144" s="1403">
        <v>135</v>
      </c>
      <c r="B144" s="1"/>
      <c r="C144" s="1417"/>
      <c r="D144" s="1566" t="s">
        <v>762</v>
      </c>
      <c r="E144" s="1418"/>
      <c r="F144" s="1"/>
      <c r="G144" s="1"/>
      <c r="H144" s="1"/>
      <c r="I144" s="1"/>
      <c r="J144" s="1"/>
      <c r="K144" s="1"/>
      <c r="L144" s="1"/>
      <c r="M144" s="1"/>
      <c r="N144" s="1"/>
      <c r="O144" s="1"/>
      <c r="P144" s="1"/>
      <c r="Q144" s="1"/>
      <c r="R144" s="1"/>
      <c r="S144" s="1"/>
      <c r="T144" s="1"/>
      <c r="U144" s="1"/>
      <c r="V144" s="1"/>
      <c r="W144" s="1"/>
      <c r="X144" s="1"/>
      <c r="Y144" s="1"/>
      <c r="Z144" s="1"/>
      <c r="AA144" s="1"/>
      <c r="AB144" s="1"/>
      <c r="AC144" s="1"/>
      <c r="AD144" s="1"/>
      <c r="AE144" s="1"/>
      <c r="AF144" s="1"/>
      <c r="AG144" s="1"/>
      <c r="AH144" s="1"/>
      <c r="AI144" s="1"/>
      <c r="AJ144" s="1"/>
      <c r="AK144" s="1"/>
      <c r="AL144" s="1"/>
      <c r="AM144" s="1"/>
      <c r="AN144" s="1"/>
      <c r="AO144" s="1"/>
      <c r="AP144" s="1"/>
      <c r="AQ144" s="1"/>
      <c r="AR144" s="1"/>
      <c r="AS144" s="1"/>
      <c r="AT144" s="1"/>
      <c r="AU144" s="1"/>
      <c r="AV144" s="1"/>
      <c r="AW144" s="1"/>
      <c r="AX144" s="1"/>
      <c r="AY144" s="1"/>
      <c r="AZ144" s="1"/>
      <c r="BA144" s="1"/>
      <c r="BB144" s="1"/>
      <c r="BC144" s="1"/>
      <c r="BD144" s="1"/>
      <c r="BE144" s="1"/>
      <c r="BF144" s="1"/>
      <c r="BG144" s="1"/>
      <c r="BH144" s="1"/>
      <c r="BI144" s="1"/>
      <c r="BJ144" s="1"/>
      <c r="BK144" s="1"/>
      <c r="BL144" s="1"/>
      <c r="BM144" s="1"/>
      <c r="BN144" s="1"/>
      <c r="BO144" s="1"/>
      <c r="BP144" s="1"/>
      <c r="BQ144" s="1"/>
      <c r="BR144" s="1"/>
      <c r="BS144" s="1"/>
      <c r="BT144" s="1"/>
      <c r="BU144" s="1"/>
      <c r="BV144" s="1"/>
      <c r="BW144" s="1"/>
      <c r="BX144" s="1"/>
      <c r="BY144" s="1"/>
      <c r="BZ144" s="1"/>
      <c r="CA144" s="1"/>
      <c r="CB144" s="1"/>
      <c r="CC144" s="1"/>
      <c r="CD144" s="1"/>
      <c r="CE144" s="1"/>
      <c r="CF144" s="1"/>
      <c r="CG144" s="1"/>
      <c r="CH144" s="1"/>
      <c r="CI144" s="1"/>
      <c r="CJ144" s="1"/>
      <c r="CK144" s="1"/>
      <c r="CL144" s="1"/>
      <c r="CM144" s="1"/>
      <c r="CN144" s="1"/>
      <c r="CO144" s="1"/>
      <c r="CP144" s="1"/>
      <c r="CQ144" s="1"/>
      <c r="CR144" s="1"/>
      <c r="CS144" s="1"/>
      <c r="CT144" s="1"/>
      <c r="CU144" s="1"/>
      <c r="CV144" s="1"/>
      <c r="CW144" s="1"/>
      <c r="CX144" s="1"/>
      <c r="CY144" s="1"/>
      <c r="CZ144" s="1"/>
      <c r="DA144" s="1"/>
      <c r="DB144" s="1"/>
      <c r="DC144" s="1"/>
      <c r="DD144" s="1"/>
      <c r="DE144" s="1"/>
      <c r="DF144" s="1"/>
      <c r="DG144" s="1"/>
      <c r="DH144" s="1"/>
      <c r="DI144" s="1"/>
      <c r="DJ144" s="1"/>
      <c r="DK144" s="1"/>
      <c r="DL144" s="1"/>
      <c r="DM144" s="1"/>
      <c r="DN144" s="1"/>
      <c r="DO144" s="1"/>
      <c r="DP144" s="1"/>
      <c r="DQ144" s="1"/>
      <c r="DR144" s="1"/>
      <c r="DS144" s="1"/>
      <c r="DT144" s="1"/>
      <c r="DU144" s="1"/>
      <c r="DV144" s="1"/>
      <c r="DW144" s="1"/>
      <c r="DX144" s="1"/>
      <c r="DY144" s="1"/>
      <c r="DZ144" s="1"/>
      <c r="EA144" s="1"/>
      <c r="EB144" s="1"/>
      <c r="EC144" s="1"/>
      <c r="ED144" s="1"/>
      <c r="EE144" s="1"/>
      <c r="EF144" s="1"/>
      <c r="EG144" s="1"/>
      <c r="EH144" s="1"/>
      <c r="EI144" s="1"/>
      <c r="EJ144" s="1"/>
      <c r="EK144" s="1"/>
      <c r="EL144" s="1"/>
      <c r="EM144" s="1"/>
      <c r="EN144" s="1"/>
      <c r="EO144" s="1"/>
      <c r="EP144" s="1"/>
      <c r="EQ144" s="1"/>
      <c r="ER144" s="1"/>
      <c r="ES144" s="1"/>
      <c r="ET144" s="1"/>
      <c r="EU144" s="1"/>
      <c r="EV144" s="1"/>
      <c r="EW144" s="1"/>
      <c r="EX144" s="1"/>
      <c r="EY144" s="1"/>
      <c r="EZ144" s="1"/>
      <c r="FA144" s="1"/>
      <c r="FB144" s="1"/>
      <c r="FC144" s="1"/>
      <c r="FD144" s="1"/>
      <c r="FE144" s="1"/>
      <c r="FF144" s="1"/>
      <c r="FG144" s="1"/>
      <c r="FH144" s="1"/>
      <c r="FI144" s="1"/>
      <c r="FJ144" s="1"/>
      <c r="FK144" s="1"/>
      <c r="FL144" s="1"/>
      <c r="FM144" s="1"/>
      <c r="FN144" s="1"/>
      <c r="FO144" s="1"/>
      <c r="FP144" s="1"/>
      <c r="FQ144" s="1"/>
      <c r="FR144" s="1"/>
      <c r="FS144" s="1"/>
      <c r="FT144" s="1"/>
      <c r="FU144" s="1"/>
      <c r="FV144" s="1"/>
      <c r="FW144" s="1"/>
      <c r="FX144" s="1"/>
      <c r="FY144" s="1"/>
      <c r="FZ144" s="1"/>
      <c r="GA144" s="1"/>
      <c r="GB144" s="1"/>
      <c r="GC144" s="1"/>
      <c r="GD144" s="1"/>
      <c r="GE144" s="1"/>
      <c r="GF144" s="1"/>
      <c r="GG144" s="1"/>
      <c r="GH144" s="1"/>
      <c r="GI144" s="1"/>
      <c r="GJ144" s="1"/>
      <c r="GK144" s="1"/>
      <c r="GL144" s="1"/>
      <c r="GM144" s="1"/>
      <c r="GN144" s="1"/>
      <c r="GO144" s="1"/>
      <c r="GP144" s="1"/>
      <c r="GQ144" s="1"/>
      <c r="GR144" s="1"/>
      <c r="GS144" s="1"/>
      <c r="GT144" s="1"/>
      <c r="GU144" s="1"/>
      <c r="GV144" s="1"/>
      <c r="GW144" s="1"/>
      <c r="GX144" s="1"/>
      <c r="GY144" s="1"/>
      <c r="GZ144" s="1"/>
      <c r="HA144" s="1"/>
      <c r="HB144" s="1"/>
      <c r="HC144" s="1"/>
      <c r="HD144" s="1"/>
      <c r="HE144" s="1"/>
      <c r="HF144" s="1"/>
      <c r="HG144" s="1"/>
      <c r="HH144" s="1"/>
      <c r="HI144" s="1"/>
      <c r="HJ144" s="1"/>
      <c r="HK144" s="1"/>
      <c r="HL144" s="1"/>
      <c r="HM144" s="1"/>
      <c r="HN144" s="1"/>
      <c r="HO144" s="1"/>
      <c r="HP144" s="1"/>
      <c r="HQ144" s="1"/>
      <c r="HR144" s="1"/>
      <c r="HS144" s="1"/>
      <c r="HT144" s="1"/>
      <c r="HU144" s="1"/>
      <c r="HV144" s="1"/>
      <c r="HW144" s="1"/>
      <c r="HX144" s="1"/>
      <c r="HY144" s="1"/>
      <c r="HZ144" s="1"/>
      <c r="IA144" s="1"/>
      <c r="IB144" s="1"/>
      <c r="IC144" s="1"/>
      <c r="ID144" s="1"/>
      <c r="IE144" s="1"/>
      <c r="IF144" s="1"/>
      <c r="IG144" s="1"/>
      <c r="IH144" s="1"/>
      <c r="II144" s="1"/>
      <c r="IJ144" s="1"/>
      <c r="IK144" s="1"/>
      <c r="IL144" s="1"/>
      <c r="IM144" s="1"/>
      <c r="IN144" s="1"/>
      <c r="IO144" s="1"/>
      <c r="IP144" s="1"/>
      <c r="IQ144" s="1"/>
      <c r="IR144" s="1"/>
      <c r="IS144" s="1"/>
      <c r="IT144" s="1"/>
      <c r="IU144" s="1"/>
      <c r="IV144" s="1"/>
    </row>
    <row r="145" spans="1:256" ht="18" customHeight="1" x14ac:dyDescent="0.35">
      <c r="A145" s="1403">
        <v>136</v>
      </c>
      <c r="B145" s="1"/>
      <c r="C145" s="1417"/>
      <c r="D145" s="1564" t="s">
        <v>760</v>
      </c>
      <c r="E145" s="1418"/>
      <c r="F145" s="1"/>
      <c r="G145" s="1"/>
      <c r="H145" s="1"/>
      <c r="I145" s="1"/>
      <c r="J145" s="1"/>
      <c r="K145" s="1"/>
      <c r="L145" s="1"/>
      <c r="M145" s="1"/>
      <c r="N145" s="1"/>
      <c r="O145" s="1"/>
      <c r="P145" s="1"/>
      <c r="Q145" s="1"/>
      <c r="R145" s="1"/>
      <c r="S145" s="1"/>
      <c r="T145" s="1"/>
      <c r="U145" s="1"/>
      <c r="V145" s="1"/>
      <c r="W145" s="1"/>
      <c r="X145" s="1"/>
      <c r="Y145" s="1"/>
      <c r="Z145" s="1"/>
      <c r="AA145" s="1"/>
      <c r="AB145" s="1"/>
      <c r="AC145" s="1"/>
      <c r="AD145" s="1"/>
      <c r="AE145" s="1"/>
      <c r="AF145" s="1"/>
      <c r="AG145" s="1"/>
      <c r="AH145" s="1"/>
      <c r="AI145" s="1"/>
      <c r="AJ145" s="1"/>
      <c r="AK145" s="1"/>
      <c r="AL145" s="1"/>
      <c r="AM145" s="1"/>
      <c r="AN145" s="1"/>
      <c r="AO145" s="1"/>
      <c r="AP145" s="1"/>
      <c r="AQ145" s="1"/>
      <c r="AR145" s="1"/>
      <c r="AS145" s="1"/>
      <c r="AT145" s="1"/>
      <c r="AU145" s="1"/>
      <c r="AV145" s="1"/>
      <c r="AW145" s="1"/>
      <c r="AX145" s="1"/>
      <c r="AY145" s="1"/>
      <c r="AZ145" s="1"/>
      <c r="BA145" s="1"/>
      <c r="BB145" s="1"/>
      <c r="BC145" s="1"/>
      <c r="BD145" s="1"/>
      <c r="BE145" s="1"/>
      <c r="BF145" s="1"/>
      <c r="BG145" s="1"/>
      <c r="BH145" s="1"/>
      <c r="BI145" s="1"/>
      <c r="BJ145" s="1"/>
      <c r="BK145" s="1"/>
      <c r="BL145" s="1"/>
      <c r="BM145" s="1"/>
      <c r="BN145" s="1"/>
      <c r="BO145" s="1"/>
      <c r="BP145" s="1"/>
      <c r="BQ145" s="1"/>
      <c r="BR145" s="1"/>
      <c r="BS145" s="1"/>
      <c r="BT145" s="1"/>
      <c r="BU145" s="1"/>
      <c r="BV145" s="1"/>
      <c r="BW145" s="1"/>
      <c r="BX145" s="1"/>
      <c r="BY145" s="1"/>
      <c r="BZ145" s="1"/>
      <c r="CA145" s="1"/>
      <c r="CB145" s="1"/>
      <c r="CC145" s="1"/>
      <c r="CD145" s="1"/>
      <c r="CE145" s="1"/>
      <c r="CF145" s="1"/>
      <c r="CG145" s="1"/>
      <c r="CH145" s="1"/>
      <c r="CI145" s="1"/>
      <c r="CJ145" s="1"/>
      <c r="CK145" s="1"/>
      <c r="CL145" s="1"/>
      <c r="CM145" s="1"/>
      <c r="CN145" s="1"/>
      <c r="CO145" s="1"/>
      <c r="CP145" s="1"/>
      <c r="CQ145" s="1"/>
      <c r="CR145" s="1"/>
      <c r="CS145" s="1"/>
      <c r="CT145" s="1"/>
      <c r="CU145" s="1"/>
      <c r="CV145" s="1"/>
      <c r="CW145" s="1"/>
      <c r="CX145" s="1"/>
      <c r="CY145" s="1"/>
      <c r="CZ145" s="1"/>
      <c r="DA145" s="1"/>
      <c r="DB145" s="1"/>
      <c r="DC145" s="1"/>
      <c r="DD145" s="1"/>
      <c r="DE145" s="1"/>
      <c r="DF145" s="1"/>
      <c r="DG145" s="1"/>
      <c r="DH145" s="1"/>
      <c r="DI145" s="1"/>
      <c r="DJ145" s="1"/>
      <c r="DK145" s="1"/>
      <c r="DL145" s="1"/>
      <c r="DM145" s="1"/>
      <c r="DN145" s="1"/>
      <c r="DO145" s="1"/>
      <c r="DP145" s="1"/>
      <c r="DQ145" s="1"/>
      <c r="DR145" s="1"/>
      <c r="DS145" s="1"/>
      <c r="DT145" s="1"/>
      <c r="DU145" s="1"/>
      <c r="DV145" s="1"/>
      <c r="DW145" s="1"/>
      <c r="DX145" s="1"/>
      <c r="DY145" s="1"/>
      <c r="DZ145" s="1"/>
      <c r="EA145" s="1"/>
      <c r="EB145" s="1"/>
      <c r="EC145" s="1"/>
      <c r="ED145" s="1"/>
      <c r="EE145" s="1"/>
      <c r="EF145" s="1"/>
      <c r="EG145" s="1"/>
      <c r="EH145" s="1"/>
      <c r="EI145" s="1"/>
      <c r="EJ145" s="1"/>
      <c r="EK145" s="1"/>
      <c r="EL145" s="1"/>
      <c r="EM145" s="1"/>
      <c r="EN145" s="1"/>
      <c r="EO145" s="1"/>
      <c r="EP145" s="1"/>
      <c r="EQ145" s="1"/>
      <c r="ER145" s="1"/>
      <c r="ES145" s="1"/>
      <c r="ET145" s="1"/>
      <c r="EU145" s="1"/>
      <c r="EV145" s="1"/>
      <c r="EW145" s="1"/>
      <c r="EX145" s="1"/>
      <c r="EY145" s="1"/>
      <c r="EZ145" s="1"/>
      <c r="FA145" s="1"/>
      <c r="FB145" s="1"/>
      <c r="FC145" s="1"/>
      <c r="FD145" s="1"/>
      <c r="FE145" s="1"/>
      <c r="FF145" s="1"/>
      <c r="FG145" s="1"/>
      <c r="FH145" s="1"/>
      <c r="FI145" s="1"/>
      <c r="FJ145" s="1"/>
      <c r="FK145" s="1"/>
      <c r="FL145" s="1"/>
      <c r="FM145" s="1"/>
      <c r="FN145" s="1"/>
      <c r="FO145" s="1"/>
      <c r="FP145" s="1"/>
      <c r="FQ145" s="1"/>
      <c r="FR145" s="1"/>
      <c r="FS145" s="1"/>
      <c r="FT145" s="1"/>
      <c r="FU145" s="1"/>
      <c r="FV145" s="1"/>
      <c r="FW145" s="1"/>
      <c r="FX145" s="1"/>
      <c r="FY145" s="1"/>
      <c r="FZ145" s="1"/>
      <c r="GA145" s="1"/>
      <c r="GB145" s="1"/>
      <c r="GC145" s="1"/>
      <c r="GD145" s="1"/>
      <c r="GE145" s="1"/>
      <c r="GF145" s="1"/>
      <c r="GG145" s="1"/>
      <c r="GH145" s="1"/>
      <c r="GI145" s="1"/>
      <c r="GJ145" s="1"/>
      <c r="GK145" s="1"/>
      <c r="GL145" s="1"/>
      <c r="GM145" s="1"/>
      <c r="GN145" s="1"/>
      <c r="GO145" s="1"/>
      <c r="GP145" s="1"/>
      <c r="GQ145" s="1"/>
      <c r="GR145" s="1"/>
      <c r="GS145" s="1"/>
      <c r="GT145" s="1"/>
      <c r="GU145" s="1"/>
      <c r="GV145" s="1"/>
      <c r="GW145" s="1"/>
      <c r="GX145" s="1"/>
      <c r="GY145" s="1"/>
      <c r="GZ145" s="1"/>
      <c r="HA145" s="1"/>
      <c r="HB145" s="1"/>
      <c r="HC145" s="1"/>
      <c r="HD145" s="1"/>
      <c r="HE145" s="1"/>
      <c r="HF145" s="1"/>
      <c r="HG145" s="1"/>
      <c r="HH145" s="1"/>
      <c r="HI145" s="1"/>
      <c r="HJ145" s="1"/>
      <c r="HK145" s="1"/>
      <c r="HL145" s="1"/>
      <c r="HM145" s="1"/>
      <c r="HN145" s="1"/>
      <c r="HO145" s="1"/>
      <c r="HP145" s="1"/>
      <c r="HQ145" s="1"/>
      <c r="HR145" s="1"/>
      <c r="HS145" s="1"/>
      <c r="HT145" s="1"/>
      <c r="HU145" s="1"/>
      <c r="HV145" s="1"/>
      <c r="HW145" s="1"/>
      <c r="HX145" s="1"/>
      <c r="HY145" s="1"/>
      <c r="HZ145" s="1"/>
      <c r="IA145" s="1"/>
      <c r="IB145" s="1"/>
      <c r="IC145" s="1"/>
      <c r="ID145" s="1"/>
      <c r="IE145" s="1"/>
      <c r="IF145" s="1"/>
      <c r="IG145" s="1"/>
      <c r="IH145" s="1"/>
      <c r="II145" s="1"/>
      <c r="IJ145" s="1"/>
      <c r="IK145" s="1"/>
      <c r="IL145" s="1"/>
      <c r="IM145" s="1"/>
      <c r="IN145" s="1"/>
      <c r="IO145" s="1"/>
      <c r="IP145" s="1"/>
      <c r="IQ145" s="1"/>
      <c r="IR145" s="1"/>
      <c r="IS145" s="1"/>
      <c r="IT145" s="1"/>
      <c r="IU145" s="1"/>
      <c r="IV145" s="1"/>
    </row>
    <row r="146" spans="1:256" ht="18" customHeight="1" x14ac:dyDescent="0.3">
      <c r="A146" s="1403">
        <v>137</v>
      </c>
      <c r="B146" s="1"/>
      <c r="C146" s="1417"/>
      <c r="D146" s="1721" t="s">
        <v>387</v>
      </c>
      <c r="E146" s="958">
        <v>-2588</v>
      </c>
      <c r="F146" s="1"/>
      <c r="G146" s="1"/>
      <c r="H146" s="1"/>
      <c r="I146" s="1"/>
      <c r="J146" s="1"/>
      <c r="K146" s="1"/>
      <c r="L146" s="1"/>
      <c r="M146" s="1"/>
      <c r="N146" s="1"/>
      <c r="O146" s="1"/>
      <c r="P146" s="1"/>
      <c r="Q146" s="1"/>
      <c r="R146" s="1"/>
      <c r="S146" s="1"/>
      <c r="T146" s="1"/>
      <c r="U146" s="1"/>
      <c r="V146" s="1"/>
      <c r="W146" s="1"/>
      <c r="X146" s="1"/>
      <c r="Y146" s="1"/>
      <c r="Z146" s="1"/>
      <c r="AA146" s="1"/>
      <c r="AB146" s="1"/>
      <c r="AC146" s="1"/>
      <c r="AD146" s="1"/>
      <c r="AE146" s="1"/>
      <c r="AF146" s="1"/>
      <c r="AG146" s="1"/>
      <c r="AH146" s="1"/>
      <c r="AI146" s="1"/>
      <c r="AJ146" s="1"/>
      <c r="AK146" s="1"/>
      <c r="AL146" s="1"/>
      <c r="AM146" s="1"/>
      <c r="AN146" s="1"/>
      <c r="AO146" s="1"/>
      <c r="AP146" s="1"/>
      <c r="AQ146" s="1"/>
      <c r="AR146" s="1"/>
      <c r="AS146" s="1"/>
      <c r="AT146" s="1"/>
      <c r="AU146" s="1"/>
      <c r="AV146" s="1"/>
      <c r="AW146" s="1"/>
      <c r="AX146" s="1"/>
      <c r="AY146" s="1"/>
      <c r="AZ146" s="1"/>
      <c r="BA146" s="1"/>
      <c r="BB146" s="1"/>
      <c r="BC146" s="1"/>
      <c r="BD146" s="1"/>
      <c r="BE146" s="1"/>
      <c r="BF146" s="1"/>
      <c r="BG146" s="1"/>
      <c r="BH146" s="1"/>
      <c r="BI146" s="1"/>
      <c r="BJ146" s="1"/>
      <c r="BK146" s="1"/>
      <c r="BL146" s="1"/>
      <c r="BM146" s="1"/>
      <c r="BN146" s="1"/>
      <c r="BO146" s="1"/>
      <c r="BP146" s="1"/>
      <c r="BQ146" s="1"/>
      <c r="BR146" s="1"/>
      <c r="BS146" s="1"/>
      <c r="BT146" s="1"/>
      <c r="BU146" s="1"/>
      <c r="BV146" s="1"/>
      <c r="BW146" s="1"/>
      <c r="BX146" s="1"/>
      <c r="BY146" s="1"/>
      <c r="BZ146" s="1"/>
      <c r="CA146" s="1"/>
      <c r="CB146" s="1"/>
      <c r="CC146" s="1"/>
      <c r="CD146" s="1"/>
      <c r="CE146" s="1"/>
      <c r="CF146" s="1"/>
      <c r="CG146" s="1"/>
      <c r="CH146" s="1"/>
      <c r="CI146" s="1"/>
      <c r="CJ146" s="1"/>
      <c r="CK146" s="1"/>
      <c r="CL146" s="1"/>
      <c r="CM146" s="1"/>
      <c r="CN146" s="1"/>
      <c r="CO146" s="1"/>
      <c r="CP146" s="1"/>
      <c r="CQ146" s="1"/>
      <c r="CR146" s="1"/>
      <c r="CS146" s="1"/>
      <c r="CT146" s="1"/>
      <c r="CU146" s="1"/>
      <c r="CV146" s="1"/>
      <c r="CW146" s="1"/>
      <c r="CX146" s="1"/>
      <c r="CY146" s="1"/>
      <c r="CZ146" s="1"/>
      <c r="DA146" s="1"/>
      <c r="DB146" s="1"/>
      <c r="DC146" s="1"/>
      <c r="DD146" s="1"/>
      <c r="DE146" s="1"/>
      <c r="DF146" s="1"/>
      <c r="DG146" s="1"/>
      <c r="DH146" s="1"/>
      <c r="DI146" s="1"/>
      <c r="DJ146" s="1"/>
      <c r="DK146" s="1"/>
      <c r="DL146" s="1"/>
      <c r="DM146" s="1"/>
      <c r="DN146" s="1"/>
      <c r="DO146" s="1"/>
      <c r="DP146" s="1"/>
      <c r="DQ146" s="1"/>
      <c r="DR146" s="1"/>
      <c r="DS146" s="1"/>
      <c r="DT146" s="1"/>
      <c r="DU146" s="1"/>
      <c r="DV146" s="1"/>
      <c r="DW146" s="1"/>
      <c r="DX146" s="1"/>
      <c r="DY146" s="1"/>
      <c r="DZ146" s="1"/>
      <c r="EA146" s="1"/>
      <c r="EB146" s="1"/>
      <c r="EC146" s="1"/>
      <c r="ED146" s="1"/>
      <c r="EE146" s="1"/>
      <c r="EF146" s="1"/>
      <c r="EG146" s="1"/>
      <c r="EH146" s="1"/>
      <c r="EI146" s="1"/>
      <c r="EJ146" s="1"/>
      <c r="EK146" s="1"/>
      <c r="EL146" s="1"/>
      <c r="EM146" s="1"/>
      <c r="EN146" s="1"/>
      <c r="EO146" s="1"/>
      <c r="EP146" s="1"/>
      <c r="EQ146" s="1"/>
      <c r="ER146" s="1"/>
      <c r="ES146" s="1"/>
      <c r="ET146" s="1"/>
      <c r="EU146" s="1"/>
      <c r="EV146" s="1"/>
      <c r="EW146" s="1"/>
      <c r="EX146" s="1"/>
      <c r="EY146" s="1"/>
      <c r="EZ146" s="1"/>
      <c r="FA146" s="1"/>
      <c r="FB146" s="1"/>
      <c r="FC146" s="1"/>
      <c r="FD146" s="1"/>
      <c r="FE146" s="1"/>
      <c r="FF146" s="1"/>
      <c r="FG146" s="1"/>
      <c r="FH146" s="1"/>
      <c r="FI146" s="1"/>
      <c r="FJ146" s="1"/>
      <c r="FK146" s="1"/>
      <c r="FL146" s="1"/>
      <c r="FM146" s="1"/>
      <c r="FN146" s="1"/>
      <c r="FO146" s="1"/>
      <c r="FP146" s="1"/>
      <c r="FQ146" s="1"/>
      <c r="FR146" s="1"/>
      <c r="FS146" s="1"/>
      <c r="FT146" s="1"/>
      <c r="FU146" s="1"/>
      <c r="FV146" s="1"/>
      <c r="FW146" s="1"/>
      <c r="FX146" s="1"/>
      <c r="FY146" s="1"/>
      <c r="FZ146" s="1"/>
      <c r="GA146" s="1"/>
      <c r="GB146" s="1"/>
      <c r="GC146" s="1"/>
      <c r="GD146" s="1"/>
      <c r="GE146" s="1"/>
      <c r="GF146" s="1"/>
      <c r="GG146" s="1"/>
      <c r="GH146" s="1"/>
      <c r="GI146" s="1"/>
      <c r="GJ146" s="1"/>
      <c r="GK146" s="1"/>
      <c r="GL146" s="1"/>
      <c r="GM146" s="1"/>
      <c r="GN146" s="1"/>
      <c r="GO146" s="1"/>
      <c r="GP146" s="1"/>
      <c r="GQ146" s="1"/>
      <c r="GR146" s="1"/>
      <c r="GS146" s="1"/>
      <c r="GT146" s="1"/>
      <c r="GU146" s="1"/>
      <c r="GV146" s="1"/>
      <c r="GW146" s="1"/>
      <c r="GX146" s="1"/>
      <c r="GY146" s="1"/>
      <c r="GZ146" s="1"/>
      <c r="HA146" s="1"/>
      <c r="HB146" s="1"/>
      <c r="HC146" s="1"/>
      <c r="HD146" s="1"/>
      <c r="HE146" s="1"/>
      <c r="HF146" s="1"/>
      <c r="HG146" s="1"/>
      <c r="HH146" s="1"/>
      <c r="HI146" s="1"/>
      <c r="HJ146" s="1"/>
      <c r="HK146" s="1"/>
      <c r="HL146" s="1"/>
      <c r="HM146" s="1"/>
      <c r="HN146" s="1"/>
      <c r="HO146" s="1"/>
      <c r="HP146" s="1"/>
      <c r="HQ146" s="1"/>
      <c r="HR146" s="1"/>
      <c r="HS146" s="1"/>
      <c r="HT146" s="1"/>
      <c r="HU146" s="1"/>
      <c r="HV146" s="1"/>
      <c r="HW146" s="1"/>
      <c r="HX146" s="1"/>
      <c r="HY146" s="1"/>
      <c r="HZ146" s="1"/>
      <c r="IA146" s="1"/>
      <c r="IB146" s="1"/>
      <c r="IC146" s="1"/>
      <c r="ID146" s="1"/>
      <c r="IE146" s="1"/>
      <c r="IF146" s="1"/>
      <c r="IG146" s="1"/>
      <c r="IH146" s="1"/>
      <c r="II146" s="1"/>
      <c r="IJ146" s="1"/>
      <c r="IK146" s="1"/>
      <c r="IL146" s="1"/>
      <c r="IM146" s="1"/>
      <c r="IN146" s="1"/>
      <c r="IO146" s="1"/>
      <c r="IP146" s="1"/>
      <c r="IQ146" s="1"/>
      <c r="IR146" s="1"/>
      <c r="IS146" s="1"/>
      <c r="IT146" s="1"/>
      <c r="IU146" s="1"/>
      <c r="IV146" s="1"/>
    </row>
    <row r="147" spans="1:256" ht="36" customHeight="1" x14ac:dyDescent="0.3">
      <c r="A147" s="1403">
        <v>138</v>
      </c>
      <c r="B147" s="1"/>
      <c r="C147" s="1417"/>
      <c r="D147" s="1721" t="s">
        <v>644</v>
      </c>
      <c r="E147" s="1548">
        <f>2717+2079+90</f>
        <v>4886</v>
      </c>
      <c r="F147" s="1"/>
      <c r="G147" s="1"/>
      <c r="H147" s="1"/>
      <c r="I147" s="1"/>
      <c r="J147" s="1"/>
      <c r="K147" s="1"/>
      <c r="L147" s="1"/>
      <c r="M147" s="1"/>
      <c r="N147" s="1"/>
      <c r="O147" s="1"/>
      <c r="P147" s="1"/>
      <c r="Q147" s="1"/>
      <c r="R147" s="1"/>
      <c r="S147" s="1"/>
      <c r="T147" s="1"/>
      <c r="U147" s="1"/>
      <c r="V147" s="1"/>
      <c r="W147" s="1"/>
      <c r="X147" s="1"/>
      <c r="Y147" s="1"/>
      <c r="Z147" s="1"/>
      <c r="AA147" s="1"/>
      <c r="AB147" s="1"/>
      <c r="AC147" s="1"/>
      <c r="AD147" s="1"/>
      <c r="AE147" s="1"/>
      <c r="AF147" s="1"/>
      <c r="AG147" s="1"/>
      <c r="AH147" s="1"/>
      <c r="AI147" s="1"/>
      <c r="AJ147" s="1"/>
      <c r="AK147" s="1"/>
      <c r="AL147" s="1"/>
      <c r="AM147" s="1"/>
      <c r="AN147" s="1"/>
      <c r="AO147" s="1"/>
      <c r="AP147" s="1"/>
      <c r="AQ147" s="1"/>
      <c r="AR147" s="1"/>
      <c r="AS147" s="1"/>
      <c r="AT147" s="1"/>
      <c r="AU147" s="1"/>
      <c r="AV147" s="1"/>
      <c r="AW147" s="1"/>
      <c r="AX147" s="1"/>
      <c r="AY147" s="1"/>
      <c r="AZ147" s="1"/>
      <c r="BA147" s="1"/>
      <c r="BB147" s="1"/>
      <c r="BC147" s="1"/>
      <c r="BD147" s="1"/>
      <c r="BE147" s="1"/>
      <c r="BF147" s="1"/>
      <c r="BG147" s="1"/>
      <c r="BH147" s="1"/>
      <c r="BI147" s="1"/>
      <c r="BJ147" s="1"/>
      <c r="BK147" s="1"/>
      <c r="BL147" s="1"/>
      <c r="BM147" s="1"/>
      <c r="BN147" s="1"/>
      <c r="BO147" s="1"/>
      <c r="BP147" s="1"/>
      <c r="BQ147" s="1"/>
      <c r="BR147" s="1"/>
      <c r="BS147" s="1"/>
      <c r="BT147" s="1"/>
      <c r="BU147" s="1"/>
      <c r="BV147" s="1"/>
      <c r="BW147" s="1"/>
      <c r="BX147" s="1"/>
      <c r="BY147" s="1"/>
      <c r="BZ147" s="1"/>
      <c r="CA147" s="1"/>
      <c r="CB147" s="1"/>
      <c r="CC147" s="1"/>
      <c r="CD147" s="1"/>
      <c r="CE147" s="1"/>
      <c r="CF147" s="1"/>
      <c r="CG147" s="1"/>
      <c r="CH147" s="1"/>
      <c r="CI147" s="1"/>
      <c r="CJ147" s="1"/>
      <c r="CK147" s="1"/>
      <c r="CL147" s="1"/>
      <c r="CM147" s="1"/>
      <c r="CN147" s="1"/>
      <c r="CO147" s="1"/>
      <c r="CP147" s="1"/>
      <c r="CQ147" s="1"/>
      <c r="CR147" s="1"/>
      <c r="CS147" s="1"/>
      <c r="CT147" s="1"/>
      <c r="CU147" s="1"/>
      <c r="CV147" s="1"/>
      <c r="CW147" s="1"/>
      <c r="CX147" s="1"/>
      <c r="CY147" s="1"/>
      <c r="CZ147" s="1"/>
      <c r="DA147" s="1"/>
      <c r="DB147" s="1"/>
      <c r="DC147" s="1"/>
      <c r="DD147" s="1"/>
      <c r="DE147" s="1"/>
      <c r="DF147" s="1"/>
      <c r="DG147" s="1"/>
      <c r="DH147" s="1"/>
      <c r="DI147" s="1"/>
      <c r="DJ147" s="1"/>
      <c r="DK147" s="1"/>
      <c r="DL147" s="1"/>
      <c r="DM147" s="1"/>
      <c r="DN147" s="1"/>
      <c r="DO147" s="1"/>
      <c r="DP147" s="1"/>
      <c r="DQ147" s="1"/>
      <c r="DR147" s="1"/>
      <c r="DS147" s="1"/>
      <c r="DT147" s="1"/>
      <c r="DU147" s="1"/>
      <c r="DV147" s="1"/>
      <c r="DW147" s="1"/>
      <c r="DX147" s="1"/>
      <c r="DY147" s="1"/>
      <c r="DZ147" s="1"/>
      <c r="EA147" s="1"/>
      <c r="EB147" s="1"/>
      <c r="EC147" s="1"/>
      <c r="ED147" s="1"/>
      <c r="EE147" s="1"/>
      <c r="EF147" s="1"/>
      <c r="EG147" s="1"/>
      <c r="EH147" s="1"/>
      <c r="EI147" s="1"/>
      <c r="EJ147" s="1"/>
      <c r="EK147" s="1"/>
      <c r="EL147" s="1"/>
      <c r="EM147" s="1"/>
      <c r="EN147" s="1"/>
      <c r="EO147" s="1"/>
      <c r="EP147" s="1"/>
      <c r="EQ147" s="1"/>
      <c r="ER147" s="1"/>
      <c r="ES147" s="1"/>
      <c r="ET147" s="1"/>
      <c r="EU147" s="1"/>
      <c r="EV147" s="1"/>
      <c r="EW147" s="1"/>
      <c r="EX147" s="1"/>
      <c r="EY147" s="1"/>
      <c r="EZ147" s="1"/>
      <c r="FA147" s="1"/>
      <c r="FB147" s="1"/>
      <c r="FC147" s="1"/>
      <c r="FD147" s="1"/>
      <c r="FE147" s="1"/>
      <c r="FF147" s="1"/>
      <c r="FG147" s="1"/>
      <c r="FH147" s="1"/>
      <c r="FI147" s="1"/>
      <c r="FJ147" s="1"/>
      <c r="FK147" s="1"/>
      <c r="FL147" s="1"/>
      <c r="FM147" s="1"/>
      <c r="FN147" s="1"/>
      <c r="FO147" s="1"/>
      <c r="FP147" s="1"/>
      <c r="FQ147" s="1"/>
      <c r="FR147" s="1"/>
      <c r="FS147" s="1"/>
      <c r="FT147" s="1"/>
      <c r="FU147" s="1"/>
      <c r="FV147" s="1"/>
      <c r="FW147" s="1"/>
      <c r="FX147" s="1"/>
      <c r="FY147" s="1"/>
      <c r="FZ147" s="1"/>
      <c r="GA147" s="1"/>
      <c r="GB147" s="1"/>
      <c r="GC147" s="1"/>
      <c r="GD147" s="1"/>
      <c r="GE147" s="1"/>
      <c r="GF147" s="1"/>
      <c r="GG147" s="1"/>
      <c r="GH147" s="1"/>
      <c r="GI147" s="1"/>
      <c r="GJ147" s="1"/>
      <c r="GK147" s="1"/>
      <c r="GL147" s="1"/>
      <c r="GM147" s="1"/>
      <c r="GN147" s="1"/>
      <c r="GO147" s="1"/>
      <c r="GP147" s="1"/>
      <c r="GQ147" s="1"/>
      <c r="GR147" s="1"/>
      <c r="GS147" s="1"/>
      <c r="GT147" s="1"/>
      <c r="GU147" s="1"/>
      <c r="GV147" s="1"/>
      <c r="GW147" s="1"/>
      <c r="GX147" s="1"/>
      <c r="GY147" s="1"/>
      <c r="GZ147" s="1"/>
      <c r="HA147" s="1"/>
      <c r="HB147" s="1"/>
      <c r="HC147" s="1"/>
      <c r="HD147" s="1"/>
      <c r="HE147" s="1"/>
      <c r="HF147" s="1"/>
      <c r="HG147" s="1"/>
      <c r="HH147" s="1"/>
      <c r="HI147" s="1"/>
      <c r="HJ147" s="1"/>
      <c r="HK147" s="1"/>
      <c r="HL147" s="1"/>
      <c r="HM147" s="1"/>
      <c r="HN147" s="1"/>
      <c r="HO147" s="1"/>
      <c r="HP147" s="1"/>
      <c r="HQ147" s="1"/>
      <c r="HR147" s="1"/>
      <c r="HS147" s="1"/>
      <c r="HT147" s="1"/>
      <c r="HU147" s="1"/>
      <c r="HV147" s="1"/>
      <c r="HW147" s="1"/>
      <c r="HX147" s="1"/>
      <c r="HY147" s="1"/>
      <c r="HZ147" s="1"/>
      <c r="IA147" s="1"/>
      <c r="IB147" s="1"/>
      <c r="IC147" s="1"/>
      <c r="ID147" s="1"/>
      <c r="IE147" s="1"/>
      <c r="IF147" s="1"/>
      <c r="IG147" s="1"/>
      <c r="IH147" s="1"/>
      <c r="II147" s="1"/>
      <c r="IJ147" s="1"/>
      <c r="IK147" s="1"/>
      <c r="IL147" s="1"/>
      <c r="IM147" s="1"/>
      <c r="IN147" s="1"/>
      <c r="IO147" s="1"/>
      <c r="IP147" s="1"/>
      <c r="IQ147" s="1"/>
      <c r="IR147" s="1"/>
      <c r="IS147" s="1"/>
      <c r="IT147" s="1"/>
      <c r="IU147" s="1"/>
      <c r="IV147" s="1"/>
    </row>
    <row r="148" spans="1:256" ht="18" customHeight="1" x14ac:dyDescent="0.3">
      <c r="A148" s="1403">
        <v>139</v>
      </c>
      <c r="B148" s="1"/>
      <c r="C148" s="1417"/>
      <c r="D148" s="1565" t="s">
        <v>101</v>
      </c>
      <c r="E148" s="1553">
        <f>SUM(E146:E147)</f>
        <v>2298</v>
      </c>
      <c r="F148" s="1"/>
      <c r="G148" s="1"/>
      <c r="H148" s="1"/>
      <c r="I148" s="1"/>
      <c r="J148" s="1"/>
      <c r="K148" s="1"/>
      <c r="L148" s="1"/>
      <c r="M148" s="1"/>
      <c r="N148" s="1"/>
      <c r="O148" s="1"/>
      <c r="P148" s="1"/>
      <c r="Q148" s="1"/>
      <c r="R148" s="1"/>
      <c r="S148" s="1"/>
      <c r="T148" s="1"/>
      <c r="U148" s="1"/>
      <c r="V148" s="1"/>
      <c r="W148" s="1"/>
      <c r="X148" s="1"/>
      <c r="Y148" s="1"/>
      <c r="Z148" s="1"/>
      <c r="AA148" s="1"/>
      <c r="AB148" s="1"/>
      <c r="AC148" s="1"/>
      <c r="AD148" s="1"/>
      <c r="AE148" s="1"/>
      <c r="AF148" s="1"/>
      <c r="AG148" s="1"/>
      <c r="AH148" s="1"/>
      <c r="AI148" s="1"/>
      <c r="AJ148" s="1"/>
      <c r="AK148" s="1"/>
      <c r="AL148" s="1"/>
      <c r="AM148" s="1"/>
      <c r="AN148" s="1"/>
      <c r="AO148" s="1"/>
      <c r="AP148" s="1"/>
      <c r="AQ148" s="1"/>
      <c r="AR148" s="1"/>
      <c r="AS148" s="1"/>
      <c r="AT148" s="1"/>
      <c r="AU148" s="1"/>
      <c r="AV148" s="1"/>
      <c r="AW148" s="1"/>
      <c r="AX148" s="1"/>
      <c r="AY148" s="1"/>
      <c r="AZ148" s="1"/>
      <c r="BA148" s="1"/>
      <c r="BB148" s="1"/>
      <c r="BC148" s="1"/>
      <c r="BD148" s="1"/>
      <c r="BE148" s="1"/>
      <c r="BF148" s="1"/>
      <c r="BG148" s="1"/>
      <c r="BH148" s="1"/>
      <c r="BI148" s="1"/>
      <c r="BJ148" s="1"/>
      <c r="BK148" s="1"/>
      <c r="BL148" s="1"/>
      <c r="BM148" s="1"/>
      <c r="BN148" s="1"/>
      <c r="BO148" s="1"/>
      <c r="BP148" s="1"/>
      <c r="BQ148" s="1"/>
      <c r="BR148" s="1"/>
      <c r="BS148" s="1"/>
      <c r="BT148" s="1"/>
      <c r="BU148" s="1"/>
      <c r="BV148" s="1"/>
      <c r="BW148" s="1"/>
      <c r="BX148" s="1"/>
      <c r="BY148" s="1"/>
      <c r="BZ148" s="1"/>
      <c r="CA148" s="1"/>
      <c r="CB148" s="1"/>
      <c r="CC148" s="1"/>
      <c r="CD148" s="1"/>
      <c r="CE148" s="1"/>
      <c r="CF148" s="1"/>
      <c r="CG148" s="1"/>
      <c r="CH148" s="1"/>
      <c r="CI148" s="1"/>
      <c r="CJ148" s="1"/>
      <c r="CK148" s="1"/>
      <c r="CL148" s="1"/>
      <c r="CM148" s="1"/>
      <c r="CN148" s="1"/>
      <c r="CO148" s="1"/>
      <c r="CP148" s="1"/>
      <c r="CQ148" s="1"/>
      <c r="CR148" s="1"/>
      <c r="CS148" s="1"/>
      <c r="CT148" s="1"/>
      <c r="CU148" s="1"/>
      <c r="CV148" s="1"/>
      <c r="CW148" s="1"/>
      <c r="CX148" s="1"/>
      <c r="CY148" s="1"/>
      <c r="CZ148" s="1"/>
      <c r="DA148" s="1"/>
      <c r="DB148" s="1"/>
      <c r="DC148" s="1"/>
      <c r="DD148" s="1"/>
      <c r="DE148" s="1"/>
      <c r="DF148" s="1"/>
      <c r="DG148" s="1"/>
      <c r="DH148" s="1"/>
      <c r="DI148" s="1"/>
      <c r="DJ148" s="1"/>
      <c r="DK148" s="1"/>
      <c r="DL148" s="1"/>
      <c r="DM148" s="1"/>
      <c r="DN148" s="1"/>
      <c r="DO148" s="1"/>
      <c r="DP148" s="1"/>
      <c r="DQ148" s="1"/>
      <c r="DR148" s="1"/>
      <c r="DS148" s="1"/>
      <c r="DT148" s="1"/>
      <c r="DU148" s="1"/>
      <c r="DV148" s="1"/>
      <c r="DW148" s="1"/>
      <c r="DX148" s="1"/>
      <c r="DY148" s="1"/>
      <c r="DZ148" s="1"/>
      <c r="EA148" s="1"/>
      <c r="EB148" s="1"/>
      <c r="EC148" s="1"/>
      <c r="ED148" s="1"/>
      <c r="EE148" s="1"/>
      <c r="EF148" s="1"/>
      <c r="EG148" s="1"/>
      <c r="EH148" s="1"/>
      <c r="EI148" s="1"/>
      <c r="EJ148" s="1"/>
      <c r="EK148" s="1"/>
      <c r="EL148" s="1"/>
      <c r="EM148" s="1"/>
      <c r="EN148" s="1"/>
      <c r="EO148" s="1"/>
      <c r="EP148" s="1"/>
      <c r="EQ148" s="1"/>
      <c r="ER148" s="1"/>
      <c r="ES148" s="1"/>
      <c r="ET148" s="1"/>
      <c r="EU148" s="1"/>
      <c r="EV148" s="1"/>
      <c r="EW148" s="1"/>
      <c r="EX148" s="1"/>
      <c r="EY148" s="1"/>
      <c r="EZ148" s="1"/>
      <c r="FA148" s="1"/>
      <c r="FB148" s="1"/>
      <c r="FC148" s="1"/>
      <c r="FD148" s="1"/>
      <c r="FE148" s="1"/>
      <c r="FF148" s="1"/>
      <c r="FG148" s="1"/>
      <c r="FH148" s="1"/>
      <c r="FI148" s="1"/>
      <c r="FJ148" s="1"/>
      <c r="FK148" s="1"/>
      <c r="FL148" s="1"/>
      <c r="FM148" s="1"/>
      <c r="FN148" s="1"/>
      <c r="FO148" s="1"/>
      <c r="FP148" s="1"/>
      <c r="FQ148" s="1"/>
      <c r="FR148" s="1"/>
      <c r="FS148" s="1"/>
      <c r="FT148" s="1"/>
      <c r="FU148" s="1"/>
      <c r="FV148" s="1"/>
      <c r="FW148" s="1"/>
      <c r="FX148" s="1"/>
      <c r="FY148" s="1"/>
      <c r="FZ148" s="1"/>
      <c r="GA148" s="1"/>
      <c r="GB148" s="1"/>
      <c r="GC148" s="1"/>
      <c r="GD148" s="1"/>
      <c r="GE148" s="1"/>
      <c r="GF148" s="1"/>
      <c r="GG148" s="1"/>
      <c r="GH148" s="1"/>
      <c r="GI148" s="1"/>
      <c r="GJ148" s="1"/>
      <c r="GK148" s="1"/>
      <c r="GL148" s="1"/>
      <c r="GM148" s="1"/>
      <c r="GN148" s="1"/>
      <c r="GO148" s="1"/>
      <c r="GP148" s="1"/>
      <c r="GQ148" s="1"/>
      <c r="GR148" s="1"/>
      <c r="GS148" s="1"/>
      <c r="GT148" s="1"/>
      <c r="GU148" s="1"/>
      <c r="GV148" s="1"/>
      <c r="GW148" s="1"/>
      <c r="GX148" s="1"/>
      <c r="GY148" s="1"/>
      <c r="GZ148" s="1"/>
      <c r="HA148" s="1"/>
      <c r="HB148" s="1"/>
      <c r="HC148" s="1"/>
      <c r="HD148" s="1"/>
      <c r="HE148" s="1"/>
      <c r="HF148" s="1"/>
      <c r="HG148" s="1"/>
      <c r="HH148" s="1"/>
      <c r="HI148" s="1"/>
      <c r="HJ148" s="1"/>
      <c r="HK148" s="1"/>
      <c r="HL148" s="1"/>
      <c r="HM148" s="1"/>
      <c r="HN148" s="1"/>
      <c r="HO148" s="1"/>
      <c r="HP148" s="1"/>
      <c r="HQ148" s="1"/>
      <c r="HR148" s="1"/>
      <c r="HS148" s="1"/>
      <c r="HT148" s="1"/>
      <c r="HU148" s="1"/>
      <c r="HV148" s="1"/>
      <c r="HW148" s="1"/>
      <c r="HX148" s="1"/>
      <c r="HY148" s="1"/>
      <c r="HZ148" s="1"/>
      <c r="IA148" s="1"/>
      <c r="IB148" s="1"/>
      <c r="IC148" s="1"/>
      <c r="ID148" s="1"/>
      <c r="IE148" s="1"/>
      <c r="IF148" s="1"/>
      <c r="IG148" s="1"/>
      <c r="IH148" s="1"/>
      <c r="II148" s="1"/>
      <c r="IJ148" s="1"/>
      <c r="IK148" s="1"/>
      <c r="IL148" s="1"/>
      <c r="IM148" s="1"/>
      <c r="IN148" s="1"/>
      <c r="IO148" s="1"/>
      <c r="IP148" s="1"/>
      <c r="IQ148" s="1"/>
      <c r="IR148" s="1"/>
      <c r="IS148" s="1"/>
      <c r="IT148" s="1"/>
      <c r="IU148" s="1"/>
      <c r="IV148" s="1"/>
    </row>
    <row r="149" spans="1:256" ht="24.75" customHeight="1" x14ac:dyDescent="0.3">
      <c r="A149" s="1403">
        <v>140</v>
      </c>
      <c r="B149" s="1"/>
      <c r="C149" s="1417"/>
      <c r="D149" s="1566" t="s">
        <v>768</v>
      </c>
      <c r="F149" s="1"/>
      <c r="G149" s="1"/>
      <c r="H149" s="1"/>
      <c r="I149" s="1"/>
      <c r="J149" s="1"/>
      <c r="K149" s="1"/>
      <c r="L149" s="1"/>
      <c r="M149" s="1"/>
      <c r="N149" s="1"/>
      <c r="O149" s="1"/>
      <c r="P149" s="1"/>
      <c r="Q149" s="1"/>
      <c r="R149" s="1"/>
      <c r="S149" s="1"/>
      <c r="T149" s="1"/>
      <c r="U149" s="1"/>
      <c r="V149" s="1"/>
      <c r="W149" s="1"/>
      <c r="X149" s="1"/>
      <c r="Y149" s="1"/>
      <c r="Z149" s="1"/>
      <c r="AA149" s="1"/>
      <c r="AB149" s="1"/>
      <c r="AC149" s="1"/>
      <c r="AD149" s="1"/>
      <c r="AE149" s="1"/>
      <c r="AF149" s="1"/>
      <c r="AG149" s="1"/>
      <c r="AH149" s="1"/>
      <c r="AI149" s="1"/>
      <c r="AJ149" s="1"/>
      <c r="AK149" s="1"/>
      <c r="AL149" s="1"/>
      <c r="AM149" s="1"/>
      <c r="AN149" s="1"/>
      <c r="AO149" s="1"/>
      <c r="AP149" s="1"/>
      <c r="AQ149" s="1"/>
      <c r="AR149" s="1"/>
      <c r="AS149" s="1"/>
      <c r="AT149" s="1"/>
      <c r="AU149" s="1"/>
      <c r="AV149" s="1"/>
      <c r="AW149" s="1"/>
      <c r="AX149" s="1"/>
      <c r="AY149" s="1"/>
      <c r="AZ149" s="1"/>
      <c r="BA149" s="1"/>
      <c r="BB149" s="1"/>
      <c r="BC149" s="1"/>
      <c r="BD149" s="1"/>
      <c r="BE149" s="1"/>
      <c r="BF149" s="1"/>
      <c r="BG149" s="1"/>
      <c r="BH149" s="1"/>
      <c r="BI149" s="1"/>
      <c r="BJ149" s="1"/>
      <c r="BK149" s="1"/>
      <c r="BL149" s="1"/>
      <c r="BM149" s="1"/>
      <c r="BN149" s="1"/>
      <c r="BO149" s="1"/>
      <c r="BP149" s="1"/>
      <c r="BQ149" s="1"/>
      <c r="BR149" s="1"/>
      <c r="BS149" s="1"/>
      <c r="BT149" s="1"/>
      <c r="BU149" s="1"/>
      <c r="BV149" s="1"/>
      <c r="BW149" s="1"/>
      <c r="BX149" s="1"/>
      <c r="BY149" s="1"/>
      <c r="BZ149" s="1"/>
      <c r="CA149" s="1"/>
      <c r="CB149" s="1"/>
      <c r="CC149" s="1"/>
      <c r="CD149" s="1"/>
      <c r="CE149" s="1"/>
      <c r="CF149" s="1"/>
      <c r="CG149" s="1"/>
      <c r="CH149" s="1"/>
      <c r="CI149" s="1"/>
      <c r="CJ149" s="1"/>
      <c r="CK149" s="1"/>
      <c r="CL149" s="1"/>
      <c r="CM149" s="1"/>
      <c r="CN149" s="1"/>
      <c r="CO149" s="1"/>
      <c r="CP149" s="1"/>
      <c r="CQ149" s="1"/>
      <c r="CR149" s="1"/>
      <c r="CS149" s="1"/>
      <c r="CT149" s="1"/>
      <c r="CU149" s="1"/>
      <c r="CV149" s="1"/>
      <c r="CW149" s="1"/>
      <c r="CX149" s="1"/>
      <c r="CY149" s="1"/>
      <c r="CZ149" s="1"/>
      <c r="DA149" s="1"/>
      <c r="DB149" s="1"/>
      <c r="DC149" s="1"/>
      <c r="DD149" s="1"/>
      <c r="DE149" s="1"/>
      <c r="DF149" s="1"/>
      <c r="DG149" s="1"/>
      <c r="DH149" s="1"/>
      <c r="DI149" s="1"/>
      <c r="DJ149" s="1"/>
      <c r="DK149" s="1"/>
      <c r="DL149" s="1"/>
      <c r="DM149" s="1"/>
      <c r="DN149" s="1"/>
      <c r="DO149" s="1"/>
      <c r="DP149" s="1"/>
      <c r="DQ149" s="1"/>
      <c r="DR149" s="1"/>
      <c r="DS149" s="1"/>
      <c r="DT149" s="1"/>
      <c r="DU149" s="1"/>
      <c r="DV149" s="1"/>
      <c r="DW149" s="1"/>
      <c r="DX149" s="1"/>
      <c r="DY149" s="1"/>
      <c r="DZ149" s="1"/>
      <c r="EA149" s="1"/>
      <c r="EB149" s="1"/>
      <c r="EC149" s="1"/>
      <c r="ED149" s="1"/>
      <c r="EE149" s="1"/>
      <c r="EF149" s="1"/>
      <c r="EG149" s="1"/>
      <c r="EH149" s="1"/>
      <c r="EI149" s="1"/>
      <c r="EJ149" s="1"/>
      <c r="EK149" s="1"/>
      <c r="EL149" s="1"/>
      <c r="EM149" s="1"/>
      <c r="EN149" s="1"/>
      <c r="EO149" s="1"/>
      <c r="EP149" s="1"/>
      <c r="EQ149" s="1"/>
      <c r="ER149" s="1"/>
      <c r="ES149" s="1"/>
      <c r="ET149" s="1"/>
      <c r="EU149" s="1"/>
      <c r="EV149" s="1"/>
      <c r="EW149" s="1"/>
      <c r="EX149" s="1"/>
      <c r="EY149" s="1"/>
      <c r="EZ149" s="1"/>
      <c r="FA149" s="1"/>
      <c r="FB149" s="1"/>
      <c r="FC149" s="1"/>
      <c r="FD149" s="1"/>
      <c r="FE149" s="1"/>
      <c r="FF149" s="1"/>
      <c r="FG149" s="1"/>
      <c r="FH149" s="1"/>
      <c r="FI149" s="1"/>
      <c r="FJ149" s="1"/>
      <c r="FK149" s="1"/>
      <c r="FL149" s="1"/>
      <c r="FM149" s="1"/>
      <c r="FN149" s="1"/>
      <c r="FO149" s="1"/>
      <c r="FP149" s="1"/>
      <c r="FQ149" s="1"/>
      <c r="FR149" s="1"/>
      <c r="FS149" s="1"/>
      <c r="FT149" s="1"/>
      <c r="FU149" s="1"/>
      <c r="FV149" s="1"/>
      <c r="FW149" s="1"/>
      <c r="FX149" s="1"/>
      <c r="FY149" s="1"/>
      <c r="FZ149" s="1"/>
      <c r="GA149" s="1"/>
      <c r="GB149" s="1"/>
      <c r="GC149" s="1"/>
      <c r="GD149" s="1"/>
      <c r="GE149" s="1"/>
      <c r="GF149" s="1"/>
      <c r="GG149" s="1"/>
      <c r="GH149" s="1"/>
      <c r="GI149" s="1"/>
      <c r="GJ149" s="1"/>
      <c r="GK149" s="1"/>
      <c r="GL149" s="1"/>
      <c r="GM149" s="1"/>
      <c r="GN149" s="1"/>
      <c r="GO149" s="1"/>
      <c r="GP149" s="1"/>
      <c r="GQ149" s="1"/>
      <c r="GR149" s="1"/>
      <c r="GS149" s="1"/>
      <c r="GT149" s="1"/>
      <c r="GU149" s="1"/>
      <c r="GV149" s="1"/>
      <c r="GW149" s="1"/>
      <c r="GX149" s="1"/>
      <c r="GY149" s="1"/>
      <c r="GZ149" s="1"/>
      <c r="HA149" s="1"/>
      <c r="HB149" s="1"/>
      <c r="HC149" s="1"/>
      <c r="HD149" s="1"/>
      <c r="HE149" s="1"/>
      <c r="HF149" s="1"/>
      <c r="HG149" s="1"/>
      <c r="HH149" s="1"/>
      <c r="HI149" s="1"/>
      <c r="HJ149" s="1"/>
      <c r="HK149" s="1"/>
      <c r="HL149" s="1"/>
      <c r="HM149" s="1"/>
      <c r="HN149" s="1"/>
      <c r="HO149" s="1"/>
      <c r="HP149" s="1"/>
      <c r="HQ149" s="1"/>
      <c r="HR149" s="1"/>
      <c r="HS149" s="1"/>
      <c r="HT149" s="1"/>
      <c r="HU149" s="1"/>
      <c r="HV149" s="1"/>
      <c r="HW149" s="1"/>
      <c r="HX149" s="1"/>
      <c r="HY149" s="1"/>
      <c r="HZ149" s="1"/>
      <c r="IA149" s="1"/>
      <c r="IB149" s="1"/>
      <c r="IC149" s="1"/>
      <c r="ID149" s="1"/>
      <c r="IE149" s="1"/>
      <c r="IF149" s="1"/>
      <c r="IG149" s="1"/>
      <c r="IH149" s="1"/>
      <c r="II149" s="1"/>
      <c r="IJ149" s="1"/>
      <c r="IK149" s="1"/>
      <c r="IL149" s="1"/>
      <c r="IM149" s="1"/>
      <c r="IN149" s="1"/>
      <c r="IO149" s="1"/>
      <c r="IP149" s="1"/>
      <c r="IQ149" s="1"/>
      <c r="IR149" s="1"/>
      <c r="IS149" s="1"/>
      <c r="IT149" s="1"/>
      <c r="IU149" s="1"/>
      <c r="IV149" s="1"/>
    </row>
    <row r="150" spans="1:256" ht="21.75" customHeight="1" x14ac:dyDescent="0.35">
      <c r="A150" s="1403">
        <v>141</v>
      </c>
      <c r="B150" s="1"/>
      <c r="C150" s="1417"/>
      <c r="D150" s="1564" t="s">
        <v>760</v>
      </c>
      <c r="F150" s="1"/>
      <c r="G150" s="1"/>
      <c r="H150" s="1"/>
      <c r="I150" s="1"/>
      <c r="J150" s="1"/>
      <c r="K150" s="1"/>
      <c r="L150" s="1"/>
      <c r="M150" s="1"/>
      <c r="N150" s="1"/>
      <c r="O150" s="1"/>
      <c r="P150" s="1"/>
      <c r="Q150" s="1"/>
      <c r="R150" s="1"/>
      <c r="S150" s="1"/>
      <c r="T150" s="1"/>
      <c r="U150" s="1"/>
      <c r="V150" s="1"/>
      <c r="W150" s="1"/>
      <c r="X150" s="1"/>
      <c r="Y150" s="1"/>
      <c r="Z150" s="1"/>
      <c r="AA150" s="1"/>
      <c r="AB150" s="1"/>
      <c r="AC150" s="1"/>
      <c r="AD150" s="1"/>
      <c r="AE150" s="1"/>
      <c r="AF150" s="1"/>
      <c r="AG150" s="1"/>
      <c r="AH150" s="1"/>
      <c r="AI150" s="1"/>
      <c r="AJ150" s="1"/>
      <c r="AK150" s="1"/>
      <c r="AL150" s="1"/>
      <c r="AM150" s="1"/>
      <c r="AN150" s="1"/>
      <c r="AO150" s="1"/>
      <c r="AP150" s="1"/>
      <c r="AQ150" s="1"/>
      <c r="AR150" s="1"/>
      <c r="AS150" s="1"/>
      <c r="AT150" s="1"/>
      <c r="AU150" s="1"/>
      <c r="AV150" s="1"/>
      <c r="AW150" s="1"/>
      <c r="AX150" s="1"/>
      <c r="AY150" s="1"/>
      <c r="AZ150" s="1"/>
      <c r="BA150" s="1"/>
      <c r="BB150" s="1"/>
      <c r="BC150" s="1"/>
      <c r="BD150" s="1"/>
      <c r="BE150" s="1"/>
      <c r="BF150" s="1"/>
      <c r="BG150" s="1"/>
      <c r="BH150" s="1"/>
      <c r="BI150" s="1"/>
      <c r="BJ150" s="1"/>
      <c r="BK150" s="1"/>
      <c r="BL150" s="1"/>
      <c r="BM150" s="1"/>
      <c r="BN150" s="1"/>
      <c r="BO150" s="1"/>
      <c r="BP150" s="1"/>
      <c r="BQ150" s="1"/>
      <c r="BR150" s="1"/>
      <c r="BS150" s="1"/>
      <c r="BT150" s="1"/>
      <c r="BU150" s="1"/>
      <c r="BV150" s="1"/>
      <c r="BW150" s="1"/>
      <c r="BX150" s="1"/>
      <c r="BY150" s="1"/>
      <c r="BZ150" s="1"/>
      <c r="CA150" s="1"/>
      <c r="CB150" s="1"/>
      <c r="CC150" s="1"/>
      <c r="CD150" s="1"/>
      <c r="CE150" s="1"/>
      <c r="CF150" s="1"/>
      <c r="CG150" s="1"/>
      <c r="CH150" s="1"/>
      <c r="CI150" s="1"/>
      <c r="CJ150" s="1"/>
      <c r="CK150" s="1"/>
      <c r="CL150" s="1"/>
      <c r="CM150" s="1"/>
      <c r="CN150" s="1"/>
      <c r="CO150" s="1"/>
      <c r="CP150" s="1"/>
      <c r="CQ150" s="1"/>
      <c r="CR150" s="1"/>
      <c r="CS150" s="1"/>
      <c r="CT150" s="1"/>
      <c r="CU150" s="1"/>
      <c r="CV150" s="1"/>
      <c r="CW150" s="1"/>
      <c r="CX150" s="1"/>
      <c r="CY150" s="1"/>
      <c r="CZ150" s="1"/>
      <c r="DA150" s="1"/>
      <c r="DB150" s="1"/>
      <c r="DC150" s="1"/>
      <c r="DD150" s="1"/>
      <c r="DE150" s="1"/>
      <c r="DF150" s="1"/>
      <c r="DG150" s="1"/>
      <c r="DH150" s="1"/>
      <c r="DI150" s="1"/>
      <c r="DJ150" s="1"/>
      <c r="DK150" s="1"/>
      <c r="DL150" s="1"/>
      <c r="DM150" s="1"/>
      <c r="DN150" s="1"/>
      <c r="DO150" s="1"/>
      <c r="DP150" s="1"/>
      <c r="DQ150" s="1"/>
      <c r="DR150" s="1"/>
      <c r="DS150" s="1"/>
      <c r="DT150" s="1"/>
      <c r="DU150" s="1"/>
      <c r="DV150" s="1"/>
      <c r="DW150" s="1"/>
      <c r="DX150" s="1"/>
      <c r="DY150" s="1"/>
      <c r="DZ150" s="1"/>
      <c r="EA150" s="1"/>
      <c r="EB150" s="1"/>
      <c r="EC150" s="1"/>
      <c r="ED150" s="1"/>
      <c r="EE150" s="1"/>
      <c r="EF150" s="1"/>
      <c r="EG150" s="1"/>
      <c r="EH150" s="1"/>
      <c r="EI150" s="1"/>
      <c r="EJ150" s="1"/>
      <c r="EK150" s="1"/>
      <c r="EL150" s="1"/>
      <c r="EM150" s="1"/>
      <c r="EN150" s="1"/>
      <c r="EO150" s="1"/>
      <c r="EP150" s="1"/>
      <c r="EQ150" s="1"/>
      <c r="ER150" s="1"/>
      <c r="ES150" s="1"/>
      <c r="ET150" s="1"/>
      <c r="EU150" s="1"/>
      <c r="EV150" s="1"/>
      <c r="EW150" s="1"/>
      <c r="EX150" s="1"/>
      <c r="EY150" s="1"/>
      <c r="EZ150" s="1"/>
      <c r="FA150" s="1"/>
      <c r="FB150" s="1"/>
      <c r="FC150" s="1"/>
      <c r="FD150" s="1"/>
      <c r="FE150" s="1"/>
      <c r="FF150" s="1"/>
      <c r="FG150" s="1"/>
      <c r="FH150" s="1"/>
      <c r="FI150" s="1"/>
      <c r="FJ150" s="1"/>
      <c r="FK150" s="1"/>
      <c r="FL150" s="1"/>
      <c r="FM150" s="1"/>
      <c r="FN150" s="1"/>
      <c r="FO150" s="1"/>
      <c r="FP150" s="1"/>
      <c r="FQ150" s="1"/>
      <c r="FR150" s="1"/>
      <c r="FS150" s="1"/>
      <c r="FT150" s="1"/>
      <c r="FU150" s="1"/>
      <c r="FV150" s="1"/>
      <c r="FW150" s="1"/>
      <c r="FX150" s="1"/>
      <c r="FY150" s="1"/>
      <c r="FZ150" s="1"/>
      <c r="GA150" s="1"/>
      <c r="GB150" s="1"/>
      <c r="GC150" s="1"/>
      <c r="GD150" s="1"/>
      <c r="GE150" s="1"/>
      <c r="GF150" s="1"/>
      <c r="GG150" s="1"/>
      <c r="GH150" s="1"/>
      <c r="GI150" s="1"/>
      <c r="GJ150" s="1"/>
      <c r="GK150" s="1"/>
      <c r="GL150" s="1"/>
      <c r="GM150" s="1"/>
      <c r="GN150" s="1"/>
      <c r="GO150" s="1"/>
      <c r="GP150" s="1"/>
      <c r="GQ150" s="1"/>
      <c r="GR150" s="1"/>
      <c r="GS150" s="1"/>
      <c r="GT150" s="1"/>
      <c r="GU150" s="1"/>
      <c r="GV150" s="1"/>
      <c r="GW150" s="1"/>
      <c r="GX150" s="1"/>
      <c r="GY150" s="1"/>
      <c r="GZ150" s="1"/>
      <c r="HA150" s="1"/>
      <c r="HB150" s="1"/>
      <c r="HC150" s="1"/>
      <c r="HD150" s="1"/>
      <c r="HE150" s="1"/>
      <c r="HF150" s="1"/>
      <c r="HG150" s="1"/>
      <c r="HH150" s="1"/>
      <c r="HI150" s="1"/>
      <c r="HJ150" s="1"/>
      <c r="HK150" s="1"/>
      <c r="HL150" s="1"/>
      <c r="HM150" s="1"/>
      <c r="HN150" s="1"/>
      <c r="HO150" s="1"/>
      <c r="HP150" s="1"/>
      <c r="HQ150" s="1"/>
      <c r="HR150" s="1"/>
      <c r="HS150" s="1"/>
      <c r="HT150" s="1"/>
      <c r="HU150" s="1"/>
      <c r="HV150" s="1"/>
      <c r="HW150" s="1"/>
      <c r="HX150" s="1"/>
      <c r="HY150" s="1"/>
      <c r="HZ150" s="1"/>
      <c r="IA150" s="1"/>
      <c r="IB150" s="1"/>
      <c r="IC150" s="1"/>
      <c r="ID150" s="1"/>
      <c r="IE150" s="1"/>
      <c r="IF150" s="1"/>
      <c r="IG150" s="1"/>
      <c r="IH150" s="1"/>
      <c r="II150" s="1"/>
      <c r="IJ150" s="1"/>
      <c r="IK150" s="1"/>
      <c r="IL150" s="1"/>
      <c r="IM150" s="1"/>
      <c r="IN150" s="1"/>
      <c r="IO150" s="1"/>
      <c r="IP150" s="1"/>
      <c r="IQ150" s="1"/>
      <c r="IR150" s="1"/>
      <c r="IS150" s="1"/>
      <c r="IT150" s="1"/>
      <c r="IU150" s="1"/>
      <c r="IV150" s="1"/>
    </row>
    <row r="151" spans="1:256" ht="18" customHeight="1" x14ac:dyDescent="0.3">
      <c r="A151" s="1403">
        <v>142</v>
      </c>
      <c r="B151" s="1"/>
      <c r="C151" s="1417"/>
      <c r="D151" s="1721" t="s">
        <v>524</v>
      </c>
      <c r="E151" s="958"/>
      <c r="F151" s="1"/>
      <c r="G151" s="1"/>
      <c r="H151" s="1"/>
      <c r="I151" s="1"/>
      <c r="J151" s="1"/>
      <c r="K151" s="1"/>
      <c r="L151" s="1"/>
      <c r="M151" s="1"/>
      <c r="N151" s="1"/>
      <c r="O151" s="1"/>
      <c r="P151" s="1"/>
      <c r="Q151" s="1"/>
      <c r="R151" s="1"/>
      <c r="S151" s="1"/>
      <c r="T151" s="1"/>
      <c r="U151" s="1"/>
      <c r="V151" s="1"/>
      <c r="W151" s="1"/>
      <c r="X151" s="1"/>
      <c r="Y151" s="1"/>
      <c r="Z151" s="1"/>
      <c r="AA151" s="1"/>
      <c r="AB151" s="1"/>
      <c r="AC151" s="1"/>
      <c r="AD151" s="1"/>
      <c r="AE151" s="1"/>
      <c r="AF151" s="1"/>
      <c r="AG151" s="1"/>
      <c r="AH151" s="1"/>
      <c r="AI151" s="1"/>
      <c r="AJ151" s="1"/>
      <c r="AK151" s="1"/>
      <c r="AL151" s="1"/>
      <c r="AM151" s="1"/>
      <c r="AN151" s="1"/>
      <c r="AO151" s="1"/>
      <c r="AP151" s="1"/>
      <c r="AQ151" s="1"/>
      <c r="AR151" s="1"/>
      <c r="AS151" s="1"/>
      <c r="AT151" s="1"/>
      <c r="AU151" s="1"/>
      <c r="AV151" s="1"/>
      <c r="AW151" s="1"/>
      <c r="AX151" s="1"/>
      <c r="AY151" s="1"/>
      <c r="AZ151" s="1"/>
      <c r="BA151" s="1"/>
      <c r="BB151" s="1"/>
      <c r="BC151" s="1"/>
      <c r="BD151" s="1"/>
      <c r="BE151" s="1"/>
      <c r="BF151" s="1"/>
      <c r="BG151" s="1"/>
      <c r="BH151" s="1"/>
      <c r="BI151" s="1"/>
      <c r="BJ151" s="1"/>
      <c r="BK151" s="1"/>
      <c r="BL151" s="1"/>
      <c r="BM151" s="1"/>
      <c r="BN151" s="1"/>
      <c r="BO151" s="1"/>
      <c r="BP151" s="1"/>
      <c r="BQ151" s="1"/>
      <c r="BR151" s="1"/>
      <c r="BS151" s="1"/>
      <c r="BT151" s="1"/>
      <c r="BU151" s="1"/>
      <c r="BV151" s="1"/>
      <c r="BW151" s="1"/>
      <c r="BX151" s="1"/>
      <c r="BY151" s="1"/>
      <c r="BZ151" s="1"/>
      <c r="CA151" s="1"/>
      <c r="CB151" s="1"/>
      <c r="CC151" s="1"/>
      <c r="CD151" s="1"/>
      <c r="CE151" s="1"/>
      <c r="CF151" s="1"/>
      <c r="CG151" s="1"/>
      <c r="CH151" s="1"/>
      <c r="CI151" s="1"/>
      <c r="CJ151" s="1"/>
      <c r="CK151" s="1"/>
      <c r="CL151" s="1"/>
      <c r="CM151" s="1"/>
      <c r="CN151" s="1"/>
      <c r="CO151" s="1"/>
      <c r="CP151" s="1"/>
      <c r="CQ151" s="1"/>
      <c r="CR151" s="1"/>
      <c r="CS151" s="1"/>
      <c r="CT151" s="1"/>
      <c r="CU151" s="1"/>
      <c r="CV151" s="1"/>
      <c r="CW151" s="1"/>
      <c r="CX151" s="1"/>
      <c r="CY151" s="1"/>
      <c r="CZ151" s="1"/>
      <c r="DA151" s="1"/>
      <c r="DB151" s="1"/>
      <c r="DC151" s="1"/>
      <c r="DD151" s="1"/>
      <c r="DE151" s="1"/>
      <c r="DF151" s="1"/>
      <c r="DG151" s="1"/>
      <c r="DH151" s="1"/>
      <c r="DI151" s="1"/>
      <c r="DJ151" s="1"/>
      <c r="DK151" s="1"/>
      <c r="DL151" s="1"/>
      <c r="DM151" s="1"/>
      <c r="DN151" s="1"/>
      <c r="DO151" s="1"/>
      <c r="DP151" s="1"/>
      <c r="DQ151" s="1"/>
      <c r="DR151" s="1"/>
      <c r="DS151" s="1"/>
      <c r="DT151" s="1"/>
      <c r="DU151" s="1"/>
      <c r="DV151" s="1"/>
      <c r="DW151" s="1"/>
      <c r="DX151" s="1"/>
      <c r="DY151" s="1"/>
      <c r="DZ151" s="1"/>
      <c r="EA151" s="1"/>
      <c r="EB151" s="1"/>
      <c r="EC151" s="1"/>
      <c r="ED151" s="1"/>
      <c r="EE151" s="1"/>
      <c r="EF151" s="1"/>
      <c r="EG151" s="1"/>
      <c r="EH151" s="1"/>
      <c r="EI151" s="1"/>
      <c r="EJ151" s="1"/>
      <c r="EK151" s="1"/>
      <c r="EL151" s="1"/>
      <c r="EM151" s="1"/>
      <c r="EN151" s="1"/>
      <c r="EO151" s="1"/>
      <c r="EP151" s="1"/>
      <c r="EQ151" s="1"/>
      <c r="ER151" s="1"/>
      <c r="ES151" s="1"/>
      <c r="ET151" s="1"/>
      <c r="EU151" s="1"/>
      <c r="EV151" s="1"/>
      <c r="EW151" s="1"/>
      <c r="EX151" s="1"/>
      <c r="EY151" s="1"/>
      <c r="EZ151" s="1"/>
      <c r="FA151" s="1"/>
      <c r="FB151" s="1"/>
      <c r="FC151" s="1"/>
      <c r="FD151" s="1"/>
      <c r="FE151" s="1"/>
      <c r="FF151" s="1"/>
      <c r="FG151" s="1"/>
      <c r="FH151" s="1"/>
      <c r="FI151" s="1"/>
      <c r="FJ151" s="1"/>
      <c r="FK151" s="1"/>
      <c r="FL151" s="1"/>
      <c r="FM151" s="1"/>
      <c r="FN151" s="1"/>
      <c r="FO151" s="1"/>
      <c r="FP151" s="1"/>
      <c r="FQ151" s="1"/>
      <c r="FR151" s="1"/>
      <c r="FS151" s="1"/>
      <c r="FT151" s="1"/>
      <c r="FU151" s="1"/>
      <c r="FV151" s="1"/>
      <c r="FW151" s="1"/>
      <c r="FX151" s="1"/>
      <c r="FY151" s="1"/>
      <c r="FZ151" s="1"/>
      <c r="GA151" s="1"/>
      <c r="GB151" s="1"/>
      <c r="GC151" s="1"/>
      <c r="GD151" s="1"/>
      <c r="GE151" s="1"/>
      <c r="GF151" s="1"/>
      <c r="GG151" s="1"/>
      <c r="GH151" s="1"/>
      <c r="GI151" s="1"/>
      <c r="GJ151" s="1"/>
      <c r="GK151" s="1"/>
      <c r="GL151" s="1"/>
      <c r="GM151" s="1"/>
      <c r="GN151" s="1"/>
      <c r="GO151" s="1"/>
      <c r="GP151" s="1"/>
      <c r="GQ151" s="1"/>
      <c r="GR151" s="1"/>
      <c r="GS151" s="1"/>
      <c r="GT151" s="1"/>
      <c r="GU151" s="1"/>
      <c r="GV151" s="1"/>
      <c r="GW151" s="1"/>
      <c r="GX151" s="1"/>
      <c r="GY151" s="1"/>
      <c r="GZ151" s="1"/>
      <c r="HA151" s="1"/>
      <c r="HB151" s="1"/>
      <c r="HC151" s="1"/>
      <c r="HD151" s="1"/>
      <c r="HE151" s="1"/>
      <c r="HF151" s="1"/>
      <c r="HG151" s="1"/>
      <c r="HH151" s="1"/>
      <c r="HI151" s="1"/>
      <c r="HJ151" s="1"/>
      <c r="HK151" s="1"/>
      <c r="HL151" s="1"/>
      <c r="HM151" s="1"/>
      <c r="HN151" s="1"/>
      <c r="HO151" s="1"/>
      <c r="HP151" s="1"/>
      <c r="HQ151" s="1"/>
      <c r="HR151" s="1"/>
      <c r="HS151" s="1"/>
      <c r="HT151" s="1"/>
      <c r="HU151" s="1"/>
      <c r="HV151" s="1"/>
      <c r="HW151" s="1"/>
      <c r="HX151" s="1"/>
      <c r="HY151" s="1"/>
      <c r="HZ151" s="1"/>
      <c r="IA151" s="1"/>
      <c r="IB151" s="1"/>
      <c r="IC151" s="1"/>
      <c r="ID151" s="1"/>
      <c r="IE151" s="1"/>
      <c r="IF151" s="1"/>
      <c r="IG151" s="1"/>
      <c r="IH151" s="1"/>
      <c r="II151" s="1"/>
      <c r="IJ151" s="1"/>
      <c r="IK151" s="1"/>
      <c r="IL151" s="1"/>
      <c r="IM151" s="1"/>
      <c r="IN151" s="1"/>
      <c r="IO151" s="1"/>
      <c r="IP151" s="1"/>
      <c r="IQ151" s="1"/>
      <c r="IR151" s="1"/>
      <c r="IS151" s="1"/>
      <c r="IT151" s="1"/>
      <c r="IU151" s="1"/>
      <c r="IV151" s="1"/>
    </row>
    <row r="152" spans="1:256" ht="18" customHeight="1" x14ac:dyDescent="0.3">
      <c r="A152" s="1403">
        <v>143</v>
      </c>
      <c r="B152" s="1"/>
      <c r="C152" s="1417"/>
      <c r="D152" s="1556" t="s">
        <v>899</v>
      </c>
      <c r="E152" s="958">
        <v>-38</v>
      </c>
      <c r="F152" s="1"/>
      <c r="G152" s="1"/>
      <c r="H152" s="1"/>
      <c r="I152" s="1"/>
      <c r="J152" s="1"/>
      <c r="K152" s="1"/>
      <c r="L152" s="1"/>
      <c r="M152" s="1"/>
      <c r="N152" s="1"/>
      <c r="O152" s="1"/>
      <c r="P152" s="1"/>
      <c r="Q152" s="1"/>
      <c r="R152" s="1"/>
      <c r="S152" s="1"/>
      <c r="T152" s="1"/>
      <c r="U152" s="1"/>
      <c r="V152" s="1"/>
      <c r="W152" s="1"/>
      <c r="X152" s="1"/>
      <c r="Y152" s="1"/>
      <c r="Z152" s="1"/>
      <c r="AA152" s="1"/>
      <c r="AB152" s="1"/>
      <c r="AC152" s="1"/>
      <c r="AD152" s="1"/>
      <c r="AE152" s="1"/>
      <c r="AF152" s="1"/>
      <c r="AG152" s="1"/>
      <c r="AH152" s="1"/>
      <c r="AI152" s="1"/>
      <c r="AJ152" s="1"/>
      <c r="AK152" s="1"/>
      <c r="AL152" s="1"/>
      <c r="AM152" s="1"/>
      <c r="AN152" s="1"/>
      <c r="AO152" s="1"/>
      <c r="AP152" s="1"/>
      <c r="AQ152" s="1"/>
      <c r="AR152" s="1"/>
      <c r="AS152" s="1"/>
      <c r="AT152" s="1"/>
      <c r="AU152" s="1"/>
      <c r="AV152" s="1"/>
      <c r="AW152" s="1"/>
      <c r="AX152" s="1"/>
      <c r="AY152" s="1"/>
      <c r="AZ152" s="1"/>
      <c r="BA152" s="1"/>
      <c r="BB152" s="1"/>
      <c r="BC152" s="1"/>
      <c r="BD152" s="1"/>
      <c r="BE152" s="1"/>
      <c r="BF152" s="1"/>
      <c r="BG152" s="1"/>
      <c r="BH152" s="1"/>
      <c r="BI152" s="1"/>
      <c r="BJ152" s="1"/>
      <c r="BK152" s="1"/>
      <c r="BL152" s="1"/>
      <c r="BM152" s="1"/>
      <c r="BN152" s="1"/>
      <c r="BO152" s="1"/>
      <c r="BP152" s="1"/>
      <c r="BQ152" s="1"/>
      <c r="BR152" s="1"/>
      <c r="BS152" s="1"/>
      <c r="BT152" s="1"/>
      <c r="BU152" s="1"/>
      <c r="BV152" s="1"/>
      <c r="BW152" s="1"/>
      <c r="BX152" s="1"/>
      <c r="BY152" s="1"/>
      <c r="BZ152" s="1"/>
      <c r="CA152" s="1"/>
      <c r="CB152" s="1"/>
      <c r="CC152" s="1"/>
      <c r="CD152" s="1"/>
      <c r="CE152" s="1"/>
      <c r="CF152" s="1"/>
      <c r="CG152" s="1"/>
      <c r="CH152" s="1"/>
      <c r="CI152" s="1"/>
      <c r="CJ152" s="1"/>
      <c r="CK152" s="1"/>
      <c r="CL152" s="1"/>
      <c r="CM152" s="1"/>
      <c r="CN152" s="1"/>
      <c r="CO152" s="1"/>
      <c r="CP152" s="1"/>
      <c r="CQ152" s="1"/>
      <c r="CR152" s="1"/>
      <c r="CS152" s="1"/>
      <c r="CT152" s="1"/>
      <c r="CU152" s="1"/>
      <c r="CV152" s="1"/>
      <c r="CW152" s="1"/>
      <c r="CX152" s="1"/>
      <c r="CY152" s="1"/>
      <c r="CZ152" s="1"/>
      <c r="DA152" s="1"/>
      <c r="DB152" s="1"/>
      <c r="DC152" s="1"/>
      <c r="DD152" s="1"/>
      <c r="DE152" s="1"/>
      <c r="DF152" s="1"/>
      <c r="DG152" s="1"/>
      <c r="DH152" s="1"/>
      <c r="DI152" s="1"/>
      <c r="DJ152" s="1"/>
      <c r="DK152" s="1"/>
      <c r="DL152" s="1"/>
      <c r="DM152" s="1"/>
      <c r="DN152" s="1"/>
      <c r="DO152" s="1"/>
      <c r="DP152" s="1"/>
      <c r="DQ152" s="1"/>
      <c r="DR152" s="1"/>
      <c r="DS152" s="1"/>
      <c r="DT152" s="1"/>
      <c r="DU152" s="1"/>
      <c r="DV152" s="1"/>
      <c r="DW152" s="1"/>
      <c r="DX152" s="1"/>
      <c r="DY152" s="1"/>
      <c r="DZ152" s="1"/>
      <c r="EA152" s="1"/>
      <c r="EB152" s="1"/>
      <c r="EC152" s="1"/>
      <c r="ED152" s="1"/>
      <c r="EE152" s="1"/>
      <c r="EF152" s="1"/>
      <c r="EG152" s="1"/>
      <c r="EH152" s="1"/>
      <c r="EI152" s="1"/>
      <c r="EJ152" s="1"/>
      <c r="EK152" s="1"/>
      <c r="EL152" s="1"/>
      <c r="EM152" s="1"/>
      <c r="EN152" s="1"/>
      <c r="EO152" s="1"/>
      <c r="EP152" s="1"/>
      <c r="EQ152" s="1"/>
      <c r="ER152" s="1"/>
      <c r="ES152" s="1"/>
      <c r="ET152" s="1"/>
      <c r="EU152" s="1"/>
      <c r="EV152" s="1"/>
      <c r="EW152" s="1"/>
      <c r="EX152" s="1"/>
      <c r="EY152" s="1"/>
      <c r="EZ152" s="1"/>
      <c r="FA152" s="1"/>
      <c r="FB152" s="1"/>
      <c r="FC152" s="1"/>
      <c r="FD152" s="1"/>
      <c r="FE152" s="1"/>
      <c r="FF152" s="1"/>
      <c r="FG152" s="1"/>
      <c r="FH152" s="1"/>
      <c r="FI152" s="1"/>
      <c r="FJ152" s="1"/>
      <c r="FK152" s="1"/>
      <c r="FL152" s="1"/>
      <c r="FM152" s="1"/>
      <c r="FN152" s="1"/>
      <c r="FO152" s="1"/>
      <c r="FP152" s="1"/>
      <c r="FQ152" s="1"/>
      <c r="FR152" s="1"/>
      <c r="FS152" s="1"/>
      <c r="FT152" s="1"/>
      <c r="FU152" s="1"/>
      <c r="FV152" s="1"/>
      <c r="FW152" s="1"/>
      <c r="FX152" s="1"/>
      <c r="FY152" s="1"/>
      <c r="FZ152" s="1"/>
      <c r="GA152" s="1"/>
      <c r="GB152" s="1"/>
      <c r="GC152" s="1"/>
      <c r="GD152" s="1"/>
      <c r="GE152" s="1"/>
      <c r="GF152" s="1"/>
      <c r="GG152" s="1"/>
      <c r="GH152" s="1"/>
      <c r="GI152" s="1"/>
      <c r="GJ152" s="1"/>
      <c r="GK152" s="1"/>
      <c r="GL152" s="1"/>
      <c r="GM152" s="1"/>
      <c r="GN152" s="1"/>
      <c r="GO152" s="1"/>
      <c r="GP152" s="1"/>
      <c r="GQ152" s="1"/>
      <c r="GR152" s="1"/>
      <c r="GS152" s="1"/>
      <c r="GT152" s="1"/>
      <c r="GU152" s="1"/>
      <c r="GV152" s="1"/>
      <c r="GW152" s="1"/>
      <c r="GX152" s="1"/>
      <c r="GY152" s="1"/>
      <c r="GZ152" s="1"/>
      <c r="HA152" s="1"/>
      <c r="HB152" s="1"/>
      <c r="HC152" s="1"/>
      <c r="HD152" s="1"/>
      <c r="HE152" s="1"/>
      <c r="HF152" s="1"/>
      <c r="HG152" s="1"/>
      <c r="HH152" s="1"/>
      <c r="HI152" s="1"/>
      <c r="HJ152" s="1"/>
      <c r="HK152" s="1"/>
      <c r="HL152" s="1"/>
      <c r="HM152" s="1"/>
      <c r="HN152" s="1"/>
      <c r="HO152" s="1"/>
      <c r="HP152" s="1"/>
      <c r="HQ152" s="1"/>
      <c r="HR152" s="1"/>
      <c r="HS152" s="1"/>
      <c r="HT152" s="1"/>
      <c r="HU152" s="1"/>
      <c r="HV152" s="1"/>
      <c r="HW152" s="1"/>
      <c r="HX152" s="1"/>
      <c r="HY152" s="1"/>
      <c r="HZ152" s="1"/>
      <c r="IA152" s="1"/>
      <c r="IB152" s="1"/>
      <c r="IC152" s="1"/>
      <c r="ID152" s="1"/>
      <c r="IE152" s="1"/>
      <c r="IF152" s="1"/>
      <c r="IG152" s="1"/>
      <c r="IH152" s="1"/>
      <c r="II152" s="1"/>
      <c r="IJ152" s="1"/>
      <c r="IK152" s="1"/>
      <c r="IL152" s="1"/>
      <c r="IM152" s="1"/>
      <c r="IN152" s="1"/>
      <c r="IO152" s="1"/>
      <c r="IP152" s="1"/>
      <c r="IQ152" s="1"/>
      <c r="IR152" s="1"/>
      <c r="IS152" s="1"/>
      <c r="IT152" s="1"/>
      <c r="IU152" s="1"/>
      <c r="IV152" s="1"/>
    </row>
    <row r="153" spans="1:256" ht="18" customHeight="1" x14ac:dyDescent="0.3">
      <c r="A153" s="1403">
        <v>144</v>
      </c>
      <c r="B153" s="1"/>
      <c r="C153" s="1417"/>
      <c r="D153" s="1556" t="s">
        <v>1113</v>
      </c>
      <c r="E153" s="958">
        <v>38</v>
      </c>
      <c r="F153" s="1"/>
      <c r="G153" s="1"/>
      <c r="H153" s="1"/>
      <c r="I153" s="1"/>
      <c r="J153" s="1"/>
      <c r="K153" s="1"/>
      <c r="L153" s="1"/>
      <c r="M153" s="1"/>
      <c r="N153" s="1"/>
      <c r="O153" s="1"/>
      <c r="P153" s="1"/>
      <c r="Q153" s="1"/>
      <c r="R153" s="1"/>
      <c r="S153" s="1"/>
      <c r="T153" s="1"/>
      <c r="U153" s="1"/>
      <c r="V153" s="1"/>
      <c r="W153" s="1"/>
      <c r="X153" s="1"/>
      <c r="Y153" s="1"/>
      <c r="Z153" s="1"/>
      <c r="AA153" s="1"/>
      <c r="AB153" s="1"/>
      <c r="AC153" s="1"/>
      <c r="AD153" s="1"/>
      <c r="AE153" s="1"/>
      <c r="AF153" s="1"/>
      <c r="AG153" s="1"/>
      <c r="AH153" s="1"/>
      <c r="AI153" s="1"/>
      <c r="AJ153" s="1"/>
      <c r="AK153" s="1"/>
      <c r="AL153" s="1"/>
      <c r="AM153" s="1"/>
      <c r="AN153" s="1"/>
      <c r="AO153" s="1"/>
      <c r="AP153" s="1"/>
      <c r="AQ153" s="1"/>
      <c r="AR153" s="1"/>
      <c r="AS153" s="1"/>
      <c r="AT153" s="1"/>
      <c r="AU153" s="1"/>
      <c r="AV153" s="1"/>
      <c r="AW153" s="1"/>
      <c r="AX153" s="1"/>
      <c r="AY153" s="1"/>
      <c r="AZ153" s="1"/>
      <c r="BA153" s="1"/>
      <c r="BB153" s="1"/>
      <c r="BC153" s="1"/>
      <c r="BD153" s="1"/>
      <c r="BE153" s="1"/>
      <c r="BF153" s="1"/>
      <c r="BG153" s="1"/>
      <c r="BH153" s="1"/>
      <c r="BI153" s="1"/>
      <c r="BJ153" s="1"/>
      <c r="BK153" s="1"/>
      <c r="BL153" s="1"/>
      <c r="BM153" s="1"/>
      <c r="BN153" s="1"/>
      <c r="BO153" s="1"/>
      <c r="BP153" s="1"/>
      <c r="BQ153" s="1"/>
      <c r="BR153" s="1"/>
      <c r="BS153" s="1"/>
      <c r="BT153" s="1"/>
      <c r="BU153" s="1"/>
      <c r="BV153" s="1"/>
      <c r="BW153" s="1"/>
      <c r="BX153" s="1"/>
      <c r="BY153" s="1"/>
      <c r="BZ153" s="1"/>
      <c r="CA153" s="1"/>
      <c r="CB153" s="1"/>
      <c r="CC153" s="1"/>
      <c r="CD153" s="1"/>
      <c r="CE153" s="1"/>
      <c r="CF153" s="1"/>
      <c r="CG153" s="1"/>
      <c r="CH153" s="1"/>
      <c r="CI153" s="1"/>
      <c r="CJ153" s="1"/>
      <c r="CK153" s="1"/>
      <c r="CL153" s="1"/>
      <c r="CM153" s="1"/>
      <c r="CN153" s="1"/>
      <c r="CO153" s="1"/>
      <c r="CP153" s="1"/>
      <c r="CQ153" s="1"/>
      <c r="CR153" s="1"/>
      <c r="CS153" s="1"/>
      <c r="CT153" s="1"/>
      <c r="CU153" s="1"/>
      <c r="CV153" s="1"/>
      <c r="CW153" s="1"/>
      <c r="CX153" s="1"/>
      <c r="CY153" s="1"/>
      <c r="CZ153" s="1"/>
      <c r="DA153" s="1"/>
      <c r="DB153" s="1"/>
      <c r="DC153" s="1"/>
      <c r="DD153" s="1"/>
      <c r="DE153" s="1"/>
      <c r="DF153" s="1"/>
      <c r="DG153" s="1"/>
      <c r="DH153" s="1"/>
      <c r="DI153" s="1"/>
      <c r="DJ153" s="1"/>
      <c r="DK153" s="1"/>
      <c r="DL153" s="1"/>
      <c r="DM153" s="1"/>
      <c r="DN153" s="1"/>
      <c r="DO153" s="1"/>
      <c r="DP153" s="1"/>
      <c r="DQ153" s="1"/>
      <c r="DR153" s="1"/>
      <c r="DS153" s="1"/>
      <c r="DT153" s="1"/>
      <c r="DU153" s="1"/>
      <c r="DV153" s="1"/>
      <c r="DW153" s="1"/>
      <c r="DX153" s="1"/>
      <c r="DY153" s="1"/>
      <c r="DZ153" s="1"/>
      <c r="EA153" s="1"/>
      <c r="EB153" s="1"/>
      <c r="EC153" s="1"/>
      <c r="ED153" s="1"/>
      <c r="EE153" s="1"/>
      <c r="EF153" s="1"/>
      <c r="EG153" s="1"/>
      <c r="EH153" s="1"/>
      <c r="EI153" s="1"/>
      <c r="EJ153" s="1"/>
      <c r="EK153" s="1"/>
      <c r="EL153" s="1"/>
      <c r="EM153" s="1"/>
      <c r="EN153" s="1"/>
      <c r="EO153" s="1"/>
      <c r="EP153" s="1"/>
      <c r="EQ153" s="1"/>
      <c r="ER153" s="1"/>
      <c r="ES153" s="1"/>
      <c r="ET153" s="1"/>
      <c r="EU153" s="1"/>
      <c r="EV153" s="1"/>
      <c r="EW153" s="1"/>
      <c r="EX153" s="1"/>
      <c r="EY153" s="1"/>
      <c r="EZ153" s="1"/>
      <c r="FA153" s="1"/>
      <c r="FB153" s="1"/>
      <c r="FC153" s="1"/>
      <c r="FD153" s="1"/>
      <c r="FE153" s="1"/>
      <c r="FF153" s="1"/>
      <c r="FG153" s="1"/>
      <c r="FH153" s="1"/>
      <c r="FI153" s="1"/>
      <c r="FJ153" s="1"/>
      <c r="FK153" s="1"/>
      <c r="FL153" s="1"/>
      <c r="FM153" s="1"/>
      <c r="FN153" s="1"/>
      <c r="FO153" s="1"/>
      <c r="FP153" s="1"/>
      <c r="FQ153" s="1"/>
      <c r="FR153" s="1"/>
      <c r="FS153" s="1"/>
      <c r="FT153" s="1"/>
      <c r="FU153" s="1"/>
      <c r="FV153" s="1"/>
      <c r="FW153" s="1"/>
      <c r="FX153" s="1"/>
      <c r="FY153" s="1"/>
      <c r="FZ153" s="1"/>
      <c r="GA153" s="1"/>
      <c r="GB153" s="1"/>
      <c r="GC153" s="1"/>
      <c r="GD153" s="1"/>
      <c r="GE153" s="1"/>
      <c r="GF153" s="1"/>
      <c r="GG153" s="1"/>
      <c r="GH153" s="1"/>
      <c r="GI153" s="1"/>
      <c r="GJ153" s="1"/>
      <c r="GK153" s="1"/>
      <c r="GL153" s="1"/>
      <c r="GM153" s="1"/>
      <c r="GN153" s="1"/>
      <c r="GO153" s="1"/>
      <c r="GP153" s="1"/>
      <c r="GQ153" s="1"/>
      <c r="GR153" s="1"/>
      <c r="GS153" s="1"/>
      <c r="GT153" s="1"/>
      <c r="GU153" s="1"/>
      <c r="GV153" s="1"/>
      <c r="GW153" s="1"/>
      <c r="GX153" s="1"/>
      <c r="GY153" s="1"/>
      <c r="GZ153" s="1"/>
      <c r="HA153" s="1"/>
      <c r="HB153" s="1"/>
      <c r="HC153" s="1"/>
      <c r="HD153" s="1"/>
      <c r="HE153" s="1"/>
      <c r="HF153" s="1"/>
      <c r="HG153" s="1"/>
      <c r="HH153" s="1"/>
      <c r="HI153" s="1"/>
      <c r="HJ153" s="1"/>
      <c r="HK153" s="1"/>
      <c r="HL153" s="1"/>
      <c r="HM153" s="1"/>
      <c r="HN153" s="1"/>
      <c r="HO153" s="1"/>
      <c r="HP153" s="1"/>
      <c r="HQ153" s="1"/>
      <c r="HR153" s="1"/>
      <c r="HS153" s="1"/>
      <c r="HT153" s="1"/>
      <c r="HU153" s="1"/>
      <c r="HV153" s="1"/>
      <c r="HW153" s="1"/>
      <c r="HX153" s="1"/>
      <c r="HY153" s="1"/>
      <c r="HZ153" s="1"/>
      <c r="IA153" s="1"/>
      <c r="IB153" s="1"/>
      <c r="IC153" s="1"/>
      <c r="ID153" s="1"/>
      <c r="IE153" s="1"/>
      <c r="IF153" s="1"/>
      <c r="IG153" s="1"/>
      <c r="IH153" s="1"/>
      <c r="II153" s="1"/>
      <c r="IJ153" s="1"/>
      <c r="IK153" s="1"/>
      <c r="IL153" s="1"/>
      <c r="IM153" s="1"/>
      <c r="IN153" s="1"/>
      <c r="IO153" s="1"/>
      <c r="IP153" s="1"/>
      <c r="IQ153" s="1"/>
      <c r="IR153" s="1"/>
      <c r="IS153" s="1"/>
      <c r="IT153" s="1"/>
      <c r="IU153" s="1"/>
      <c r="IV153" s="1"/>
    </row>
    <row r="154" spans="1:256" ht="18" customHeight="1" x14ac:dyDescent="0.3">
      <c r="A154" s="1403">
        <v>145</v>
      </c>
      <c r="B154" s="1"/>
      <c r="C154" s="1417"/>
      <c r="D154" s="1721" t="s">
        <v>409</v>
      </c>
      <c r="E154" s="958"/>
      <c r="F154" s="1"/>
      <c r="G154" s="1"/>
      <c r="H154" s="1"/>
      <c r="I154" s="1"/>
      <c r="J154" s="1"/>
      <c r="K154" s="1"/>
      <c r="L154" s="1"/>
      <c r="M154" s="1"/>
      <c r="N154" s="1"/>
      <c r="O154" s="1"/>
      <c r="P154" s="1"/>
      <c r="Q154" s="1"/>
      <c r="R154" s="1"/>
      <c r="S154" s="1"/>
      <c r="T154" s="1"/>
      <c r="U154" s="1"/>
      <c r="V154" s="1"/>
      <c r="W154" s="1"/>
      <c r="X154" s="1"/>
      <c r="Y154" s="1"/>
      <c r="Z154" s="1"/>
      <c r="AA154" s="1"/>
      <c r="AB154" s="1"/>
      <c r="AC154" s="1"/>
      <c r="AD154" s="1"/>
      <c r="AE154" s="1"/>
      <c r="AF154" s="1"/>
      <c r="AG154" s="1"/>
      <c r="AH154" s="1"/>
      <c r="AI154" s="1"/>
      <c r="AJ154" s="1"/>
      <c r="AK154" s="1"/>
      <c r="AL154" s="1"/>
      <c r="AM154" s="1"/>
      <c r="AN154" s="1"/>
      <c r="AO154" s="1"/>
      <c r="AP154" s="1"/>
      <c r="AQ154" s="1"/>
      <c r="AR154" s="1"/>
      <c r="AS154" s="1"/>
      <c r="AT154" s="1"/>
      <c r="AU154" s="1"/>
      <c r="AV154" s="1"/>
      <c r="AW154" s="1"/>
      <c r="AX154" s="1"/>
      <c r="AY154" s="1"/>
      <c r="AZ154" s="1"/>
      <c r="BA154" s="1"/>
      <c r="BB154" s="1"/>
      <c r="BC154" s="1"/>
      <c r="BD154" s="1"/>
      <c r="BE154" s="1"/>
      <c r="BF154" s="1"/>
      <c r="BG154" s="1"/>
      <c r="BH154" s="1"/>
      <c r="BI154" s="1"/>
      <c r="BJ154" s="1"/>
      <c r="BK154" s="1"/>
      <c r="BL154" s="1"/>
      <c r="BM154" s="1"/>
      <c r="BN154" s="1"/>
      <c r="BO154" s="1"/>
      <c r="BP154" s="1"/>
      <c r="BQ154" s="1"/>
      <c r="BR154" s="1"/>
      <c r="BS154" s="1"/>
      <c r="BT154" s="1"/>
      <c r="BU154" s="1"/>
      <c r="BV154" s="1"/>
      <c r="BW154" s="1"/>
      <c r="BX154" s="1"/>
      <c r="BY154" s="1"/>
      <c r="BZ154" s="1"/>
      <c r="CA154" s="1"/>
      <c r="CB154" s="1"/>
      <c r="CC154" s="1"/>
      <c r="CD154" s="1"/>
      <c r="CE154" s="1"/>
      <c r="CF154" s="1"/>
      <c r="CG154" s="1"/>
      <c r="CH154" s="1"/>
      <c r="CI154" s="1"/>
      <c r="CJ154" s="1"/>
      <c r="CK154" s="1"/>
      <c r="CL154" s="1"/>
      <c r="CM154" s="1"/>
      <c r="CN154" s="1"/>
      <c r="CO154" s="1"/>
      <c r="CP154" s="1"/>
      <c r="CQ154" s="1"/>
      <c r="CR154" s="1"/>
      <c r="CS154" s="1"/>
      <c r="CT154" s="1"/>
      <c r="CU154" s="1"/>
      <c r="CV154" s="1"/>
      <c r="CW154" s="1"/>
      <c r="CX154" s="1"/>
      <c r="CY154" s="1"/>
      <c r="CZ154" s="1"/>
      <c r="DA154" s="1"/>
      <c r="DB154" s="1"/>
      <c r="DC154" s="1"/>
      <c r="DD154" s="1"/>
      <c r="DE154" s="1"/>
      <c r="DF154" s="1"/>
      <c r="DG154" s="1"/>
      <c r="DH154" s="1"/>
      <c r="DI154" s="1"/>
      <c r="DJ154" s="1"/>
      <c r="DK154" s="1"/>
      <c r="DL154" s="1"/>
      <c r="DM154" s="1"/>
      <c r="DN154" s="1"/>
      <c r="DO154" s="1"/>
      <c r="DP154" s="1"/>
      <c r="DQ154" s="1"/>
      <c r="DR154" s="1"/>
      <c r="DS154" s="1"/>
      <c r="DT154" s="1"/>
      <c r="DU154" s="1"/>
      <c r="DV154" s="1"/>
      <c r="DW154" s="1"/>
      <c r="DX154" s="1"/>
      <c r="DY154" s="1"/>
      <c r="DZ154" s="1"/>
      <c r="EA154" s="1"/>
      <c r="EB154" s="1"/>
      <c r="EC154" s="1"/>
      <c r="ED154" s="1"/>
      <c r="EE154" s="1"/>
      <c r="EF154" s="1"/>
      <c r="EG154" s="1"/>
      <c r="EH154" s="1"/>
      <c r="EI154" s="1"/>
      <c r="EJ154" s="1"/>
      <c r="EK154" s="1"/>
      <c r="EL154" s="1"/>
      <c r="EM154" s="1"/>
      <c r="EN154" s="1"/>
      <c r="EO154" s="1"/>
      <c r="EP154" s="1"/>
      <c r="EQ154" s="1"/>
      <c r="ER154" s="1"/>
      <c r="ES154" s="1"/>
      <c r="ET154" s="1"/>
      <c r="EU154" s="1"/>
      <c r="EV154" s="1"/>
      <c r="EW154" s="1"/>
      <c r="EX154" s="1"/>
      <c r="EY154" s="1"/>
      <c r="EZ154" s="1"/>
      <c r="FA154" s="1"/>
      <c r="FB154" s="1"/>
      <c r="FC154" s="1"/>
      <c r="FD154" s="1"/>
      <c r="FE154" s="1"/>
      <c r="FF154" s="1"/>
      <c r="FG154" s="1"/>
      <c r="FH154" s="1"/>
      <c r="FI154" s="1"/>
      <c r="FJ154" s="1"/>
      <c r="FK154" s="1"/>
      <c r="FL154" s="1"/>
      <c r="FM154" s="1"/>
      <c r="FN154" s="1"/>
      <c r="FO154" s="1"/>
      <c r="FP154" s="1"/>
      <c r="FQ154" s="1"/>
      <c r="FR154" s="1"/>
      <c r="FS154" s="1"/>
      <c r="FT154" s="1"/>
      <c r="FU154" s="1"/>
      <c r="FV154" s="1"/>
      <c r="FW154" s="1"/>
      <c r="FX154" s="1"/>
      <c r="FY154" s="1"/>
      <c r="FZ154" s="1"/>
      <c r="GA154" s="1"/>
      <c r="GB154" s="1"/>
      <c r="GC154" s="1"/>
      <c r="GD154" s="1"/>
      <c r="GE154" s="1"/>
      <c r="GF154" s="1"/>
      <c r="GG154" s="1"/>
      <c r="GH154" s="1"/>
      <c r="GI154" s="1"/>
      <c r="GJ154" s="1"/>
      <c r="GK154" s="1"/>
      <c r="GL154" s="1"/>
      <c r="GM154" s="1"/>
      <c r="GN154" s="1"/>
      <c r="GO154" s="1"/>
      <c r="GP154" s="1"/>
      <c r="GQ154" s="1"/>
      <c r="GR154" s="1"/>
      <c r="GS154" s="1"/>
      <c r="GT154" s="1"/>
      <c r="GU154" s="1"/>
      <c r="GV154" s="1"/>
      <c r="GW154" s="1"/>
      <c r="GX154" s="1"/>
      <c r="GY154" s="1"/>
      <c r="GZ154" s="1"/>
      <c r="HA154" s="1"/>
      <c r="HB154" s="1"/>
      <c r="HC154" s="1"/>
      <c r="HD154" s="1"/>
      <c r="HE154" s="1"/>
      <c r="HF154" s="1"/>
      <c r="HG154" s="1"/>
      <c r="HH154" s="1"/>
      <c r="HI154" s="1"/>
      <c r="HJ154" s="1"/>
      <c r="HK154" s="1"/>
      <c r="HL154" s="1"/>
      <c r="HM154" s="1"/>
      <c r="HN154" s="1"/>
      <c r="HO154" s="1"/>
      <c r="HP154" s="1"/>
      <c r="HQ154" s="1"/>
      <c r="HR154" s="1"/>
      <c r="HS154" s="1"/>
      <c r="HT154" s="1"/>
      <c r="HU154" s="1"/>
      <c r="HV154" s="1"/>
      <c r="HW154" s="1"/>
      <c r="HX154" s="1"/>
      <c r="HY154" s="1"/>
      <c r="HZ154" s="1"/>
      <c r="IA154" s="1"/>
      <c r="IB154" s="1"/>
      <c r="IC154" s="1"/>
      <c r="ID154" s="1"/>
      <c r="IE154" s="1"/>
      <c r="IF154" s="1"/>
      <c r="IG154" s="1"/>
      <c r="IH154" s="1"/>
      <c r="II154" s="1"/>
      <c r="IJ154" s="1"/>
      <c r="IK154" s="1"/>
      <c r="IL154" s="1"/>
      <c r="IM154" s="1"/>
      <c r="IN154" s="1"/>
      <c r="IO154" s="1"/>
      <c r="IP154" s="1"/>
      <c r="IQ154" s="1"/>
      <c r="IR154" s="1"/>
      <c r="IS154" s="1"/>
      <c r="IT154" s="1"/>
      <c r="IU154" s="1"/>
      <c r="IV154" s="1"/>
    </row>
    <row r="155" spans="1:256" ht="18" customHeight="1" x14ac:dyDescent="0.3">
      <c r="A155" s="1403">
        <v>146</v>
      </c>
      <c r="B155" s="1"/>
      <c r="C155" s="1417"/>
      <c r="D155" s="1556" t="s">
        <v>899</v>
      </c>
      <c r="E155" s="958">
        <v>-20</v>
      </c>
      <c r="F155" s="1"/>
      <c r="G155" s="1"/>
      <c r="H155" s="1"/>
      <c r="I155" s="1"/>
      <c r="J155" s="1"/>
      <c r="K155" s="1"/>
      <c r="L155" s="1"/>
      <c r="M155" s="1"/>
      <c r="N155" s="1"/>
      <c r="O155" s="1"/>
      <c r="P155" s="1"/>
      <c r="Q155" s="1"/>
      <c r="R155" s="1"/>
      <c r="S155" s="1"/>
      <c r="T155" s="1"/>
      <c r="U155" s="1"/>
      <c r="V155" s="1"/>
      <c r="W155" s="1"/>
      <c r="X155" s="1"/>
      <c r="Y155" s="1"/>
      <c r="Z155" s="1"/>
      <c r="AA155" s="1"/>
      <c r="AB155" s="1"/>
      <c r="AC155" s="1"/>
      <c r="AD155" s="1"/>
      <c r="AE155" s="1"/>
      <c r="AF155" s="1"/>
      <c r="AG155" s="1"/>
      <c r="AH155" s="1"/>
      <c r="AI155" s="1"/>
      <c r="AJ155" s="1"/>
      <c r="AK155" s="1"/>
      <c r="AL155" s="1"/>
      <c r="AM155" s="1"/>
      <c r="AN155" s="1"/>
      <c r="AO155" s="1"/>
      <c r="AP155" s="1"/>
      <c r="AQ155" s="1"/>
      <c r="AR155" s="1"/>
      <c r="AS155" s="1"/>
      <c r="AT155" s="1"/>
      <c r="AU155" s="1"/>
      <c r="AV155" s="1"/>
      <c r="AW155" s="1"/>
      <c r="AX155" s="1"/>
      <c r="AY155" s="1"/>
      <c r="AZ155" s="1"/>
      <c r="BA155" s="1"/>
      <c r="BB155" s="1"/>
      <c r="BC155" s="1"/>
      <c r="BD155" s="1"/>
      <c r="BE155" s="1"/>
      <c r="BF155" s="1"/>
      <c r="BG155" s="1"/>
      <c r="BH155" s="1"/>
      <c r="BI155" s="1"/>
      <c r="BJ155" s="1"/>
      <c r="BK155" s="1"/>
      <c r="BL155" s="1"/>
      <c r="BM155" s="1"/>
      <c r="BN155" s="1"/>
      <c r="BO155" s="1"/>
      <c r="BP155" s="1"/>
      <c r="BQ155" s="1"/>
      <c r="BR155" s="1"/>
      <c r="BS155" s="1"/>
      <c r="BT155" s="1"/>
      <c r="BU155" s="1"/>
      <c r="BV155" s="1"/>
      <c r="BW155" s="1"/>
      <c r="BX155" s="1"/>
      <c r="BY155" s="1"/>
      <c r="BZ155" s="1"/>
      <c r="CA155" s="1"/>
      <c r="CB155" s="1"/>
      <c r="CC155" s="1"/>
      <c r="CD155" s="1"/>
      <c r="CE155" s="1"/>
      <c r="CF155" s="1"/>
      <c r="CG155" s="1"/>
      <c r="CH155" s="1"/>
      <c r="CI155" s="1"/>
      <c r="CJ155" s="1"/>
      <c r="CK155" s="1"/>
      <c r="CL155" s="1"/>
      <c r="CM155" s="1"/>
      <c r="CN155" s="1"/>
      <c r="CO155" s="1"/>
      <c r="CP155" s="1"/>
      <c r="CQ155" s="1"/>
      <c r="CR155" s="1"/>
      <c r="CS155" s="1"/>
      <c r="CT155" s="1"/>
      <c r="CU155" s="1"/>
      <c r="CV155" s="1"/>
      <c r="CW155" s="1"/>
      <c r="CX155" s="1"/>
      <c r="CY155" s="1"/>
      <c r="CZ155" s="1"/>
      <c r="DA155" s="1"/>
      <c r="DB155" s="1"/>
      <c r="DC155" s="1"/>
      <c r="DD155" s="1"/>
      <c r="DE155" s="1"/>
      <c r="DF155" s="1"/>
      <c r="DG155" s="1"/>
      <c r="DH155" s="1"/>
      <c r="DI155" s="1"/>
      <c r="DJ155" s="1"/>
      <c r="DK155" s="1"/>
      <c r="DL155" s="1"/>
      <c r="DM155" s="1"/>
      <c r="DN155" s="1"/>
      <c r="DO155" s="1"/>
      <c r="DP155" s="1"/>
      <c r="DQ155" s="1"/>
      <c r="DR155" s="1"/>
      <c r="DS155" s="1"/>
      <c r="DT155" s="1"/>
      <c r="DU155" s="1"/>
      <c r="DV155" s="1"/>
      <c r="DW155" s="1"/>
      <c r="DX155" s="1"/>
      <c r="DY155" s="1"/>
      <c r="DZ155" s="1"/>
      <c r="EA155" s="1"/>
      <c r="EB155" s="1"/>
      <c r="EC155" s="1"/>
      <c r="ED155" s="1"/>
      <c r="EE155" s="1"/>
      <c r="EF155" s="1"/>
      <c r="EG155" s="1"/>
      <c r="EH155" s="1"/>
      <c r="EI155" s="1"/>
      <c r="EJ155" s="1"/>
      <c r="EK155" s="1"/>
      <c r="EL155" s="1"/>
      <c r="EM155" s="1"/>
      <c r="EN155" s="1"/>
      <c r="EO155" s="1"/>
      <c r="EP155" s="1"/>
      <c r="EQ155" s="1"/>
      <c r="ER155" s="1"/>
      <c r="ES155" s="1"/>
      <c r="ET155" s="1"/>
      <c r="EU155" s="1"/>
      <c r="EV155" s="1"/>
      <c r="EW155" s="1"/>
      <c r="EX155" s="1"/>
      <c r="EY155" s="1"/>
      <c r="EZ155" s="1"/>
      <c r="FA155" s="1"/>
      <c r="FB155" s="1"/>
      <c r="FC155" s="1"/>
      <c r="FD155" s="1"/>
      <c r="FE155" s="1"/>
      <c r="FF155" s="1"/>
      <c r="FG155" s="1"/>
      <c r="FH155" s="1"/>
      <c r="FI155" s="1"/>
      <c r="FJ155" s="1"/>
      <c r="FK155" s="1"/>
      <c r="FL155" s="1"/>
      <c r="FM155" s="1"/>
      <c r="FN155" s="1"/>
      <c r="FO155" s="1"/>
      <c r="FP155" s="1"/>
      <c r="FQ155" s="1"/>
      <c r="FR155" s="1"/>
      <c r="FS155" s="1"/>
      <c r="FT155" s="1"/>
      <c r="FU155" s="1"/>
      <c r="FV155" s="1"/>
      <c r="FW155" s="1"/>
      <c r="FX155" s="1"/>
      <c r="FY155" s="1"/>
      <c r="FZ155" s="1"/>
      <c r="GA155" s="1"/>
      <c r="GB155" s="1"/>
      <c r="GC155" s="1"/>
      <c r="GD155" s="1"/>
      <c r="GE155" s="1"/>
      <c r="GF155" s="1"/>
      <c r="GG155" s="1"/>
      <c r="GH155" s="1"/>
      <c r="GI155" s="1"/>
      <c r="GJ155" s="1"/>
      <c r="GK155" s="1"/>
      <c r="GL155" s="1"/>
      <c r="GM155" s="1"/>
      <c r="GN155" s="1"/>
      <c r="GO155" s="1"/>
      <c r="GP155" s="1"/>
      <c r="GQ155" s="1"/>
      <c r="GR155" s="1"/>
      <c r="GS155" s="1"/>
      <c r="GT155" s="1"/>
      <c r="GU155" s="1"/>
      <c r="GV155" s="1"/>
      <c r="GW155" s="1"/>
      <c r="GX155" s="1"/>
      <c r="GY155" s="1"/>
      <c r="GZ155" s="1"/>
      <c r="HA155" s="1"/>
      <c r="HB155" s="1"/>
      <c r="HC155" s="1"/>
      <c r="HD155" s="1"/>
      <c r="HE155" s="1"/>
      <c r="HF155" s="1"/>
      <c r="HG155" s="1"/>
      <c r="HH155" s="1"/>
      <c r="HI155" s="1"/>
      <c r="HJ155" s="1"/>
      <c r="HK155" s="1"/>
      <c r="HL155" s="1"/>
      <c r="HM155" s="1"/>
      <c r="HN155" s="1"/>
      <c r="HO155" s="1"/>
      <c r="HP155" s="1"/>
      <c r="HQ155" s="1"/>
      <c r="HR155" s="1"/>
      <c r="HS155" s="1"/>
      <c r="HT155" s="1"/>
      <c r="HU155" s="1"/>
      <c r="HV155" s="1"/>
      <c r="HW155" s="1"/>
      <c r="HX155" s="1"/>
      <c r="HY155" s="1"/>
      <c r="HZ155" s="1"/>
      <c r="IA155" s="1"/>
      <c r="IB155" s="1"/>
      <c r="IC155" s="1"/>
      <c r="ID155" s="1"/>
      <c r="IE155" s="1"/>
      <c r="IF155" s="1"/>
      <c r="IG155" s="1"/>
      <c r="IH155" s="1"/>
      <c r="II155" s="1"/>
      <c r="IJ155" s="1"/>
      <c r="IK155" s="1"/>
      <c r="IL155" s="1"/>
      <c r="IM155" s="1"/>
      <c r="IN155" s="1"/>
      <c r="IO155" s="1"/>
      <c r="IP155" s="1"/>
      <c r="IQ155" s="1"/>
      <c r="IR155" s="1"/>
      <c r="IS155" s="1"/>
      <c r="IT155" s="1"/>
      <c r="IU155" s="1"/>
      <c r="IV155" s="1"/>
    </row>
    <row r="156" spans="1:256" ht="18" customHeight="1" x14ac:dyDescent="0.3">
      <c r="A156" s="1403">
        <v>147</v>
      </c>
      <c r="B156" s="1"/>
      <c r="C156" s="1417"/>
      <c r="D156" s="1556" t="s">
        <v>1114</v>
      </c>
      <c r="E156" s="958">
        <v>20</v>
      </c>
      <c r="F156" s="1"/>
      <c r="G156" s="1"/>
      <c r="H156" s="1"/>
      <c r="I156" s="1"/>
      <c r="J156" s="1"/>
      <c r="K156" s="1"/>
      <c r="L156" s="1"/>
      <c r="M156" s="1"/>
      <c r="N156" s="1"/>
      <c r="O156" s="1"/>
      <c r="P156" s="1"/>
      <c r="Q156" s="1"/>
      <c r="R156" s="1"/>
      <c r="S156" s="1"/>
      <c r="T156" s="1"/>
      <c r="U156" s="1"/>
      <c r="V156" s="1"/>
      <c r="W156" s="1"/>
      <c r="X156" s="1"/>
      <c r="Y156" s="1"/>
      <c r="Z156" s="1"/>
      <c r="AA156" s="1"/>
      <c r="AB156" s="1"/>
      <c r="AC156" s="1"/>
      <c r="AD156" s="1"/>
      <c r="AE156" s="1"/>
      <c r="AF156" s="1"/>
      <c r="AG156" s="1"/>
      <c r="AH156" s="1"/>
      <c r="AI156" s="1"/>
      <c r="AJ156" s="1"/>
      <c r="AK156" s="1"/>
      <c r="AL156" s="1"/>
      <c r="AM156" s="1"/>
      <c r="AN156" s="1"/>
      <c r="AO156" s="1"/>
      <c r="AP156" s="1"/>
      <c r="AQ156" s="1"/>
      <c r="AR156" s="1"/>
      <c r="AS156" s="1"/>
      <c r="AT156" s="1"/>
      <c r="AU156" s="1"/>
      <c r="AV156" s="1"/>
      <c r="AW156" s="1"/>
      <c r="AX156" s="1"/>
      <c r="AY156" s="1"/>
      <c r="AZ156" s="1"/>
      <c r="BA156" s="1"/>
      <c r="BB156" s="1"/>
      <c r="BC156" s="1"/>
      <c r="BD156" s="1"/>
      <c r="BE156" s="1"/>
      <c r="BF156" s="1"/>
      <c r="BG156" s="1"/>
      <c r="BH156" s="1"/>
      <c r="BI156" s="1"/>
      <c r="BJ156" s="1"/>
      <c r="BK156" s="1"/>
      <c r="BL156" s="1"/>
      <c r="BM156" s="1"/>
      <c r="BN156" s="1"/>
      <c r="BO156" s="1"/>
      <c r="BP156" s="1"/>
      <c r="BQ156" s="1"/>
      <c r="BR156" s="1"/>
      <c r="BS156" s="1"/>
      <c r="BT156" s="1"/>
      <c r="BU156" s="1"/>
      <c r="BV156" s="1"/>
      <c r="BW156" s="1"/>
      <c r="BX156" s="1"/>
      <c r="BY156" s="1"/>
      <c r="BZ156" s="1"/>
      <c r="CA156" s="1"/>
      <c r="CB156" s="1"/>
      <c r="CC156" s="1"/>
      <c r="CD156" s="1"/>
      <c r="CE156" s="1"/>
      <c r="CF156" s="1"/>
      <c r="CG156" s="1"/>
      <c r="CH156" s="1"/>
      <c r="CI156" s="1"/>
      <c r="CJ156" s="1"/>
      <c r="CK156" s="1"/>
      <c r="CL156" s="1"/>
      <c r="CM156" s="1"/>
      <c r="CN156" s="1"/>
      <c r="CO156" s="1"/>
      <c r="CP156" s="1"/>
      <c r="CQ156" s="1"/>
      <c r="CR156" s="1"/>
      <c r="CS156" s="1"/>
      <c r="CT156" s="1"/>
      <c r="CU156" s="1"/>
      <c r="CV156" s="1"/>
      <c r="CW156" s="1"/>
      <c r="CX156" s="1"/>
      <c r="CY156" s="1"/>
      <c r="CZ156" s="1"/>
      <c r="DA156" s="1"/>
      <c r="DB156" s="1"/>
      <c r="DC156" s="1"/>
      <c r="DD156" s="1"/>
      <c r="DE156" s="1"/>
      <c r="DF156" s="1"/>
      <c r="DG156" s="1"/>
      <c r="DH156" s="1"/>
      <c r="DI156" s="1"/>
      <c r="DJ156" s="1"/>
      <c r="DK156" s="1"/>
      <c r="DL156" s="1"/>
      <c r="DM156" s="1"/>
      <c r="DN156" s="1"/>
      <c r="DO156" s="1"/>
      <c r="DP156" s="1"/>
      <c r="DQ156" s="1"/>
      <c r="DR156" s="1"/>
      <c r="DS156" s="1"/>
      <c r="DT156" s="1"/>
      <c r="DU156" s="1"/>
      <c r="DV156" s="1"/>
      <c r="DW156" s="1"/>
      <c r="DX156" s="1"/>
      <c r="DY156" s="1"/>
      <c r="DZ156" s="1"/>
      <c r="EA156" s="1"/>
      <c r="EB156" s="1"/>
      <c r="EC156" s="1"/>
      <c r="ED156" s="1"/>
      <c r="EE156" s="1"/>
      <c r="EF156" s="1"/>
      <c r="EG156" s="1"/>
      <c r="EH156" s="1"/>
      <c r="EI156" s="1"/>
      <c r="EJ156" s="1"/>
      <c r="EK156" s="1"/>
      <c r="EL156" s="1"/>
      <c r="EM156" s="1"/>
      <c r="EN156" s="1"/>
      <c r="EO156" s="1"/>
      <c r="EP156" s="1"/>
      <c r="EQ156" s="1"/>
      <c r="ER156" s="1"/>
      <c r="ES156" s="1"/>
      <c r="ET156" s="1"/>
      <c r="EU156" s="1"/>
      <c r="EV156" s="1"/>
      <c r="EW156" s="1"/>
      <c r="EX156" s="1"/>
      <c r="EY156" s="1"/>
      <c r="EZ156" s="1"/>
      <c r="FA156" s="1"/>
      <c r="FB156" s="1"/>
      <c r="FC156" s="1"/>
      <c r="FD156" s="1"/>
      <c r="FE156" s="1"/>
      <c r="FF156" s="1"/>
      <c r="FG156" s="1"/>
      <c r="FH156" s="1"/>
      <c r="FI156" s="1"/>
      <c r="FJ156" s="1"/>
      <c r="FK156" s="1"/>
      <c r="FL156" s="1"/>
      <c r="FM156" s="1"/>
      <c r="FN156" s="1"/>
      <c r="FO156" s="1"/>
      <c r="FP156" s="1"/>
      <c r="FQ156" s="1"/>
      <c r="FR156" s="1"/>
      <c r="FS156" s="1"/>
      <c r="FT156" s="1"/>
      <c r="FU156" s="1"/>
      <c r="FV156" s="1"/>
      <c r="FW156" s="1"/>
      <c r="FX156" s="1"/>
      <c r="FY156" s="1"/>
      <c r="FZ156" s="1"/>
      <c r="GA156" s="1"/>
      <c r="GB156" s="1"/>
      <c r="GC156" s="1"/>
      <c r="GD156" s="1"/>
      <c r="GE156" s="1"/>
      <c r="GF156" s="1"/>
      <c r="GG156" s="1"/>
      <c r="GH156" s="1"/>
      <c r="GI156" s="1"/>
      <c r="GJ156" s="1"/>
      <c r="GK156" s="1"/>
      <c r="GL156" s="1"/>
      <c r="GM156" s="1"/>
      <c r="GN156" s="1"/>
      <c r="GO156" s="1"/>
      <c r="GP156" s="1"/>
      <c r="GQ156" s="1"/>
      <c r="GR156" s="1"/>
      <c r="GS156" s="1"/>
      <c r="GT156" s="1"/>
      <c r="GU156" s="1"/>
      <c r="GV156" s="1"/>
      <c r="GW156" s="1"/>
      <c r="GX156" s="1"/>
      <c r="GY156" s="1"/>
      <c r="GZ156" s="1"/>
      <c r="HA156" s="1"/>
      <c r="HB156" s="1"/>
      <c r="HC156" s="1"/>
      <c r="HD156" s="1"/>
      <c r="HE156" s="1"/>
      <c r="HF156" s="1"/>
      <c r="HG156" s="1"/>
      <c r="HH156" s="1"/>
      <c r="HI156" s="1"/>
      <c r="HJ156" s="1"/>
      <c r="HK156" s="1"/>
      <c r="HL156" s="1"/>
      <c r="HM156" s="1"/>
      <c r="HN156" s="1"/>
      <c r="HO156" s="1"/>
      <c r="HP156" s="1"/>
      <c r="HQ156" s="1"/>
      <c r="HR156" s="1"/>
      <c r="HS156" s="1"/>
      <c r="HT156" s="1"/>
      <c r="HU156" s="1"/>
      <c r="HV156" s="1"/>
      <c r="HW156" s="1"/>
      <c r="HX156" s="1"/>
      <c r="HY156" s="1"/>
      <c r="HZ156" s="1"/>
      <c r="IA156" s="1"/>
      <c r="IB156" s="1"/>
      <c r="IC156" s="1"/>
      <c r="ID156" s="1"/>
      <c r="IE156" s="1"/>
      <c r="IF156" s="1"/>
      <c r="IG156" s="1"/>
      <c r="IH156" s="1"/>
      <c r="II156" s="1"/>
      <c r="IJ156" s="1"/>
      <c r="IK156" s="1"/>
      <c r="IL156" s="1"/>
      <c r="IM156" s="1"/>
      <c r="IN156" s="1"/>
      <c r="IO156" s="1"/>
      <c r="IP156" s="1"/>
      <c r="IQ156" s="1"/>
      <c r="IR156" s="1"/>
      <c r="IS156" s="1"/>
      <c r="IT156" s="1"/>
      <c r="IU156" s="1"/>
      <c r="IV156" s="1"/>
    </row>
    <row r="157" spans="1:256" ht="18" customHeight="1" x14ac:dyDescent="0.3">
      <c r="A157" s="1403">
        <v>148</v>
      </c>
      <c r="B157" s="1"/>
      <c r="C157" s="1417"/>
      <c r="D157" s="1721" t="s">
        <v>520</v>
      </c>
      <c r="E157" s="958"/>
      <c r="F157" s="1"/>
      <c r="G157" s="1"/>
      <c r="H157" s="1"/>
      <c r="I157" s="1"/>
      <c r="J157" s="1"/>
      <c r="K157" s="1"/>
      <c r="L157" s="1"/>
      <c r="M157" s="1"/>
      <c r="N157" s="1"/>
      <c r="O157" s="1"/>
      <c r="P157" s="1"/>
      <c r="Q157" s="1"/>
      <c r="R157" s="1"/>
      <c r="S157" s="1"/>
      <c r="T157" s="1"/>
      <c r="U157" s="1"/>
      <c r="V157" s="1"/>
      <c r="W157" s="1"/>
      <c r="X157" s="1"/>
      <c r="Y157" s="1"/>
      <c r="Z157" s="1"/>
      <c r="AA157" s="1"/>
      <c r="AB157" s="1"/>
      <c r="AC157" s="1"/>
      <c r="AD157" s="1"/>
      <c r="AE157" s="1"/>
      <c r="AF157" s="1"/>
      <c r="AG157" s="1"/>
      <c r="AH157" s="1"/>
      <c r="AI157" s="1"/>
      <c r="AJ157" s="1"/>
      <c r="AK157" s="1"/>
      <c r="AL157" s="1"/>
      <c r="AM157" s="1"/>
      <c r="AN157" s="1"/>
      <c r="AO157" s="1"/>
      <c r="AP157" s="1"/>
      <c r="AQ157" s="1"/>
      <c r="AR157" s="1"/>
      <c r="AS157" s="1"/>
      <c r="AT157" s="1"/>
      <c r="AU157" s="1"/>
      <c r="AV157" s="1"/>
      <c r="AW157" s="1"/>
      <c r="AX157" s="1"/>
      <c r="AY157" s="1"/>
      <c r="AZ157" s="1"/>
      <c r="BA157" s="1"/>
      <c r="BB157" s="1"/>
      <c r="BC157" s="1"/>
      <c r="BD157" s="1"/>
      <c r="BE157" s="1"/>
      <c r="BF157" s="1"/>
      <c r="BG157" s="1"/>
      <c r="BH157" s="1"/>
      <c r="BI157" s="1"/>
      <c r="BJ157" s="1"/>
      <c r="BK157" s="1"/>
      <c r="BL157" s="1"/>
      <c r="BM157" s="1"/>
      <c r="BN157" s="1"/>
      <c r="BO157" s="1"/>
      <c r="BP157" s="1"/>
      <c r="BQ157" s="1"/>
      <c r="BR157" s="1"/>
      <c r="BS157" s="1"/>
      <c r="BT157" s="1"/>
      <c r="BU157" s="1"/>
      <c r="BV157" s="1"/>
      <c r="BW157" s="1"/>
      <c r="BX157" s="1"/>
      <c r="BY157" s="1"/>
      <c r="BZ157" s="1"/>
      <c r="CA157" s="1"/>
      <c r="CB157" s="1"/>
      <c r="CC157" s="1"/>
      <c r="CD157" s="1"/>
      <c r="CE157" s="1"/>
      <c r="CF157" s="1"/>
      <c r="CG157" s="1"/>
      <c r="CH157" s="1"/>
      <c r="CI157" s="1"/>
      <c r="CJ157" s="1"/>
      <c r="CK157" s="1"/>
      <c r="CL157" s="1"/>
      <c r="CM157" s="1"/>
      <c r="CN157" s="1"/>
      <c r="CO157" s="1"/>
      <c r="CP157" s="1"/>
      <c r="CQ157" s="1"/>
      <c r="CR157" s="1"/>
      <c r="CS157" s="1"/>
      <c r="CT157" s="1"/>
      <c r="CU157" s="1"/>
      <c r="CV157" s="1"/>
      <c r="CW157" s="1"/>
      <c r="CX157" s="1"/>
      <c r="CY157" s="1"/>
      <c r="CZ157" s="1"/>
      <c r="DA157" s="1"/>
      <c r="DB157" s="1"/>
      <c r="DC157" s="1"/>
      <c r="DD157" s="1"/>
      <c r="DE157" s="1"/>
      <c r="DF157" s="1"/>
      <c r="DG157" s="1"/>
      <c r="DH157" s="1"/>
      <c r="DI157" s="1"/>
      <c r="DJ157" s="1"/>
      <c r="DK157" s="1"/>
      <c r="DL157" s="1"/>
      <c r="DM157" s="1"/>
      <c r="DN157" s="1"/>
      <c r="DO157" s="1"/>
      <c r="DP157" s="1"/>
      <c r="DQ157" s="1"/>
      <c r="DR157" s="1"/>
      <c r="DS157" s="1"/>
      <c r="DT157" s="1"/>
      <c r="DU157" s="1"/>
      <c r="DV157" s="1"/>
      <c r="DW157" s="1"/>
      <c r="DX157" s="1"/>
      <c r="DY157" s="1"/>
      <c r="DZ157" s="1"/>
      <c r="EA157" s="1"/>
      <c r="EB157" s="1"/>
      <c r="EC157" s="1"/>
      <c r="ED157" s="1"/>
      <c r="EE157" s="1"/>
      <c r="EF157" s="1"/>
      <c r="EG157" s="1"/>
      <c r="EH157" s="1"/>
      <c r="EI157" s="1"/>
      <c r="EJ157" s="1"/>
      <c r="EK157" s="1"/>
      <c r="EL157" s="1"/>
      <c r="EM157" s="1"/>
      <c r="EN157" s="1"/>
      <c r="EO157" s="1"/>
      <c r="EP157" s="1"/>
      <c r="EQ157" s="1"/>
      <c r="ER157" s="1"/>
      <c r="ES157" s="1"/>
      <c r="ET157" s="1"/>
      <c r="EU157" s="1"/>
      <c r="EV157" s="1"/>
      <c r="EW157" s="1"/>
      <c r="EX157" s="1"/>
      <c r="EY157" s="1"/>
      <c r="EZ157" s="1"/>
      <c r="FA157" s="1"/>
      <c r="FB157" s="1"/>
      <c r="FC157" s="1"/>
      <c r="FD157" s="1"/>
      <c r="FE157" s="1"/>
      <c r="FF157" s="1"/>
      <c r="FG157" s="1"/>
      <c r="FH157" s="1"/>
      <c r="FI157" s="1"/>
      <c r="FJ157" s="1"/>
      <c r="FK157" s="1"/>
      <c r="FL157" s="1"/>
      <c r="FM157" s="1"/>
      <c r="FN157" s="1"/>
      <c r="FO157" s="1"/>
      <c r="FP157" s="1"/>
      <c r="FQ157" s="1"/>
      <c r="FR157" s="1"/>
      <c r="FS157" s="1"/>
      <c r="FT157" s="1"/>
      <c r="FU157" s="1"/>
      <c r="FV157" s="1"/>
      <c r="FW157" s="1"/>
      <c r="FX157" s="1"/>
      <c r="FY157" s="1"/>
      <c r="FZ157" s="1"/>
      <c r="GA157" s="1"/>
      <c r="GB157" s="1"/>
      <c r="GC157" s="1"/>
      <c r="GD157" s="1"/>
      <c r="GE157" s="1"/>
      <c r="GF157" s="1"/>
      <c r="GG157" s="1"/>
      <c r="GH157" s="1"/>
      <c r="GI157" s="1"/>
      <c r="GJ157" s="1"/>
      <c r="GK157" s="1"/>
      <c r="GL157" s="1"/>
      <c r="GM157" s="1"/>
      <c r="GN157" s="1"/>
      <c r="GO157" s="1"/>
      <c r="GP157" s="1"/>
      <c r="GQ157" s="1"/>
      <c r="GR157" s="1"/>
      <c r="GS157" s="1"/>
      <c r="GT157" s="1"/>
      <c r="GU157" s="1"/>
      <c r="GV157" s="1"/>
      <c r="GW157" s="1"/>
      <c r="GX157" s="1"/>
      <c r="GY157" s="1"/>
      <c r="GZ157" s="1"/>
      <c r="HA157" s="1"/>
      <c r="HB157" s="1"/>
      <c r="HC157" s="1"/>
      <c r="HD157" s="1"/>
      <c r="HE157" s="1"/>
      <c r="HF157" s="1"/>
      <c r="HG157" s="1"/>
      <c r="HH157" s="1"/>
      <c r="HI157" s="1"/>
      <c r="HJ157" s="1"/>
      <c r="HK157" s="1"/>
      <c r="HL157" s="1"/>
      <c r="HM157" s="1"/>
      <c r="HN157" s="1"/>
      <c r="HO157" s="1"/>
      <c r="HP157" s="1"/>
      <c r="HQ157" s="1"/>
      <c r="HR157" s="1"/>
      <c r="HS157" s="1"/>
      <c r="HT157" s="1"/>
      <c r="HU157" s="1"/>
      <c r="HV157" s="1"/>
      <c r="HW157" s="1"/>
      <c r="HX157" s="1"/>
      <c r="HY157" s="1"/>
      <c r="HZ157" s="1"/>
      <c r="IA157" s="1"/>
      <c r="IB157" s="1"/>
      <c r="IC157" s="1"/>
      <c r="ID157" s="1"/>
      <c r="IE157" s="1"/>
      <c r="IF157" s="1"/>
      <c r="IG157" s="1"/>
      <c r="IH157" s="1"/>
      <c r="II157" s="1"/>
      <c r="IJ157" s="1"/>
      <c r="IK157" s="1"/>
      <c r="IL157" s="1"/>
      <c r="IM157" s="1"/>
      <c r="IN157" s="1"/>
      <c r="IO157" s="1"/>
      <c r="IP157" s="1"/>
      <c r="IQ157" s="1"/>
      <c r="IR157" s="1"/>
      <c r="IS157" s="1"/>
      <c r="IT157" s="1"/>
      <c r="IU157" s="1"/>
      <c r="IV157" s="1"/>
    </row>
    <row r="158" spans="1:256" ht="18" customHeight="1" x14ac:dyDescent="0.3">
      <c r="A158" s="1403">
        <v>149</v>
      </c>
      <c r="B158" s="1"/>
      <c r="C158" s="1417"/>
      <c r="D158" s="1556" t="s">
        <v>1015</v>
      </c>
      <c r="E158" s="958">
        <v>-4000</v>
      </c>
      <c r="F158" s="1"/>
      <c r="G158" s="1"/>
      <c r="H158" s="1"/>
      <c r="I158" s="1"/>
      <c r="J158" s="1"/>
      <c r="K158" s="1"/>
      <c r="L158" s="1"/>
      <c r="M158" s="1"/>
      <c r="N158" s="1"/>
      <c r="O158" s="1"/>
      <c r="P158" s="1"/>
      <c r="Q158" s="1"/>
      <c r="R158" s="1"/>
      <c r="S158" s="1"/>
      <c r="T158" s="1"/>
      <c r="U158" s="1"/>
      <c r="V158" s="1"/>
      <c r="W158" s="1"/>
      <c r="X158" s="1"/>
      <c r="Y158" s="1"/>
      <c r="Z158" s="1"/>
      <c r="AA158" s="1"/>
      <c r="AB158" s="1"/>
      <c r="AC158" s="1"/>
      <c r="AD158" s="1"/>
      <c r="AE158" s="1"/>
      <c r="AF158" s="1"/>
      <c r="AG158" s="1"/>
      <c r="AH158" s="1"/>
      <c r="AI158" s="1"/>
      <c r="AJ158" s="1"/>
      <c r="AK158" s="1"/>
      <c r="AL158" s="1"/>
      <c r="AM158" s="1"/>
      <c r="AN158" s="1"/>
      <c r="AO158" s="1"/>
      <c r="AP158" s="1"/>
      <c r="AQ158" s="1"/>
      <c r="AR158" s="1"/>
      <c r="AS158" s="1"/>
      <c r="AT158" s="1"/>
      <c r="AU158" s="1"/>
      <c r="AV158" s="1"/>
      <c r="AW158" s="1"/>
      <c r="AX158" s="1"/>
      <c r="AY158" s="1"/>
      <c r="AZ158" s="1"/>
      <c r="BA158" s="1"/>
      <c r="BB158" s="1"/>
      <c r="BC158" s="1"/>
      <c r="BD158" s="1"/>
      <c r="BE158" s="1"/>
      <c r="BF158" s="1"/>
      <c r="BG158" s="1"/>
      <c r="BH158" s="1"/>
      <c r="BI158" s="1"/>
      <c r="BJ158" s="1"/>
      <c r="BK158" s="1"/>
      <c r="BL158" s="1"/>
      <c r="BM158" s="1"/>
      <c r="BN158" s="1"/>
      <c r="BO158" s="1"/>
      <c r="BP158" s="1"/>
      <c r="BQ158" s="1"/>
      <c r="BR158" s="1"/>
      <c r="BS158" s="1"/>
      <c r="BT158" s="1"/>
      <c r="BU158" s="1"/>
      <c r="BV158" s="1"/>
      <c r="BW158" s="1"/>
      <c r="BX158" s="1"/>
      <c r="BY158" s="1"/>
      <c r="BZ158" s="1"/>
      <c r="CA158" s="1"/>
      <c r="CB158" s="1"/>
      <c r="CC158" s="1"/>
      <c r="CD158" s="1"/>
      <c r="CE158" s="1"/>
      <c r="CF158" s="1"/>
      <c r="CG158" s="1"/>
      <c r="CH158" s="1"/>
      <c r="CI158" s="1"/>
      <c r="CJ158" s="1"/>
      <c r="CK158" s="1"/>
      <c r="CL158" s="1"/>
      <c r="CM158" s="1"/>
      <c r="CN158" s="1"/>
      <c r="CO158" s="1"/>
      <c r="CP158" s="1"/>
      <c r="CQ158" s="1"/>
      <c r="CR158" s="1"/>
      <c r="CS158" s="1"/>
      <c r="CT158" s="1"/>
      <c r="CU158" s="1"/>
      <c r="CV158" s="1"/>
      <c r="CW158" s="1"/>
      <c r="CX158" s="1"/>
      <c r="CY158" s="1"/>
      <c r="CZ158" s="1"/>
      <c r="DA158" s="1"/>
      <c r="DB158" s="1"/>
      <c r="DC158" s="1"/>
      <c r="DD158" s="1"/>
      <c r="DE158" s="1"/>
      <c r="DF158" s="1"/>
      <c r="DG158" s="1"/>
      <c r="DH158" s="1"/>
      <c r="DI158" s="1"/>
      <c r="DJ158" s="1"/>
      <c r="DK158" s="1"/>
      <c r="DL158" s="1"/>
      <c r="DM158" s="1"/>
      <c r="DN158" s="1"/>
      <c r="DO158" s="1"/>
      <c r="DP158" s="1"/>
      <c r="DQ158" s="1"/>
      <c r="DR158" s="1"/>
      <c r="DS158" s="1"/>
      <c r="DT158" s="1"/>
      <c r="DU158" s="1"/>
      <c r="DV158" s="1"/>
      <c r="DW158" s="1"/>
      <c r="DX158" s="1"/>
      <c r="DY158" s="1"/>
      <c r="DZ158" s="1"/>
      <c r="EA158" s="1"/>
      <c r="EB158" s="1"/>
      <c r="EC158" s="1"/>
      <c r="ED158" s="1"/>
      <c r="EE158" s="1"/>
      <c r="EF158" s="1"/>
      <c r="EG158" s="1"/>
      <c r="EH158" s="1"/>
      <c r="EI158" s="1"/>
      <c r="EJ158" s="1"/>
      <c r="EK158" s="1"/>
      <c r="EL158" s="1"/>
      <c r="EM158" s="1"/>
      <c r="EN158" s="1"/>
      <c r="EO158" s="1"/>
      <c r="EP158" s="1"/>
      <c r="EQ158" s="1"/>
      <c r="ER158" s="1"/>
      <c r="ES158" s="1"/>
      <c r="ET158" s="1"/>
      <c r="EU158" s="1"/>
      <c r="EV158" s="1"/>
      <c r="EW158" s="1"/>
      <c r="EX158" s="1"/>
      <c r="EY158" s="1"/>
      <c r="EZ158" s="1"/>
      <c r="FA158" s="1"/>
      <c r="FB158" s="1"/>
      <c r="FC158" s="1"/>
      <c r="FD158" s="1"/>
      <c r="FE158" s="1"/>
      <c r="FF158" s="1"/>
      <c r="FG158" s="1"/>
      <c r="FH158" s="1"/>
      <c r="FI158" s="1"/>
      <c r="FJ158" s="1"/>
      <c r="FK158" s="1"/>
      <c r="FL158" s="1"/>
      <c r="FM158" s="1"/>
      <c r="FN158" s="1"/>
      <c r="FO158" s="1"/>
      <c r="FP158" s="1"/>
      <c r="FQ158" s="1"/>
      <c r="FR158" s="1"/>
      <c r="FS158" s="1"/>
      <c r="FT158" s="1"/>
      <c r="FU158" s="1"/>
      <c r="FV158" s="1"/>
      <c r="FW158" s="1"/>
      <c r="FX158" s="1"/>
      <c r="FY158" s="1"/>
      <c r="FZ158" s="1"/>
      <c r="GA158" s="1"/>
      <c r="GB158" s="1"/>
      <c r="GC158" s="1"/>
      <c r="GD158" s="1"/>
      <c r="GE158" s="1"/>
      <c r="GF158" s="1"/>
      <c r="GG158" s="1"/>
      <c r="GH158" s="1"/>
      <c r="GI158" s="1"/>
      <c r="GJ158" s="1"/>
      <c r="GK158" s="1"/>
      <c r="GL158" s="1"/>
      <c r="GM158" s="1"/>
      <c r="GN158" s="1"/>
      <c r="GO158" s="1"/>
      <c r="GP158" s="1"/>
      <c r="GQ158" s="1"/>
      <c r="GR158" s="1"/>
      <c r="GS158" s="1"/>
      <c r="GT158" s="1"/>
      <c r="GU158" s="1"/>
      <c r="GV158" s="1"/>
      <c r="GW158" s="1"/>
      <c r="GX158" s="1"/>
      <c r="GY158" s="1"/>
      <c r="GZ158" s="1"/>
      <c r="HA158" s="1"/>
      <c r="HB158" s="1"/>
      <c r="HC158" s="1"/>
      <c r="HD158" s="1"/>
      <c r="HE158" s="1"/>
      <c r="HF158" s="1"/>
      <c r="HG158" s="1"/>
      <c r="HH158" s="1"/>
      <c r="HI158" s="1"/>
      <c r="HJ158" s="1"/>
      <c r="HK158" s="1"/>
      <c r="HL158" s="1"/>
      <c r="HM158" s="1"/>
      <c r="HN158" s="1"/>
      <c r="HO158" s="1"/>
      <c r="HP158" s="1"/>
      <c r="HQ158" s="1"/>
      <c r="HR158" s="1"/>
      <c r="HS158" s="1"/>
      <c r="HT158" s="1"/>
      <c r="HU158" s="1"/>
      <c r="HV158" s="1"/>
      <c r="HW158" s="1"/>
      <c r="HX158" s="1"/>
      <c r="HY158" s="1"/>
      <c r="HZ158" s="1"/>
      <c r="IA158" s="1"/>
      <c r="IB158" s="1"/>
      <c r="IC158" s="1"/>
      <c r="ID158" s="1"/>
      <c r="IE158" s="1"/>
      <c r="IF158" s="1"/>
      <c r="IG158" s="1"/>
      <c r="IH158" s="1"/>
      <c r="II158" s="1"/>
      <c r="IJ158" s="1"/>
      <c r="IK158" s="1"/>
      <c r="IL158" s="1"/>
      <c r="IM158" s="1"/>
      <c r="IN158" s="1"/>
      <c r="IO158" s="1"/>
      <c r="IP158" s="1"/>
      <c r="IQ158" s="1"/>
      <c r="IR158" s="1"/>
      <c r="IS158" s="1"/>
      <c r="IT158" s="1"/>
      <c r="IU158" s="1"/>
      <c r="IV158" s="1"/>
    </row>
    <row r="159" spans="1:256" ht="35.25" customHeight="1" x14ac:dyDescent="0.3">
      <c r="A159" s="1403">
        <v>150</v>
      </c>
      <c r="B159" s="1"/>
      <c r="C159" s="1417"/>
      <c r="D159" s="1721" t="s">
        <v>1016</v>
      </c>
      <c r="E159" s="958">
        <v>10000</v>
      </c>
      <c r="F159" s="1"/>
      <c r="G159" s="1"/>
      <c r="H159" s="1"/>
      <c r="I159" s="1"/>
      <c r="J159" s="1"/>
      <c r="K159" s="1"/>
      <c r="L159" s="1"/>
      <c r="M159" s="1"/>
      <c r="N159" s="1"/>
      <c r="O159" s="1"/>
      <c r="P159" s="1"/>
      <c r="Q159" s="1"/>
      <c r="R159" s="1"/>
      <c r="S159" s="1"/>
      <c r="T159" s="1"/>
      <c r="U159" s="1"/>
      <c r="V159" s="1"/>
      <c r="W159" s="1"/>
      <c r="X159" s="1"/>
      <c r="Y159" s="1"/>
      <c r="Z159" s="1"/>
      <c r="AA159" s="1"/>
      <c r="AB159" s="1"/>
      <c r="AC159" s="1"/>
      <c r="AD159" s="1"/>
      <c r="AE159" s="1"/>
      <c r="AF159" s="1"/>
      <c r="AG159" s="1"/>
      <c r="AH159" s="1"/>
      <c r="AI159" s="1"/>
      <c r="AJ159" s="1"/>
      <c r="AK159" s="1"/>
      <c r="AL159" s="1"/>
      <c r="AM159" s="1"/>
      <c r="AN159" s="1"/>
      <c r="AO159" s="1"/>
      <c r="AP159" s="1"/>
      <c r="AQ159" s="1"/>
      <c r="AR159" s="1"/>
      <c r="AS159" s="1"/>
      <c r="AT159" s="1"/>
      <c r="AU159" s="1"/>
      <c r="AV159" s="1"/>
      <c r="AW159" s="1"/>
      <c r="AX159" s="1"/>
      <c r="AY159" s="1"/>
      <c r="AZ159" s="1"/>
      <c r="BA159" s="1"/>
      <c r="BB159" s="1"/>
      <c r="BC159" s="1"/>
      <c r="BD159" s="1"/>
      <c r="BE159" s="1"/>
      <c r="BF159" s="1"/>
      <c r="BG159" s="1"/>
      <c r="BH159" s="1"/>
      <c r="BI159" s="1"/>
      <c r="BJ159" s="1"/>
      <c r="BK159" s="1"/>
      <c r="BL159" s="1"/>
      <c r="BM159" s="1"/>
      <c r="BN159" s="1"/>
      <c r="BO159" s="1"/>
      <c r="BP159" s="1"/>
      <c r="BQ159" s="1"/>
      <c r="BR159" s="1"/>
      <c r="BS159" s="1"/>
      <c r="BT159" s="1"/>
      <c r="BU159" s="1"/>
      <c r="BV159" s="1"/>
      <c r="BW159" s="1"/>
      <c r="BX159" s="1"/>
      <c r="BY159" s="1"/>
      <c r="BZ159" s="1"/>
      <c r="CA159" s="1"/>
      <c r="CB159" s="1"/>
      <c r="CC159" s="1"/>
      <c r="CD159" s="1"/>
      <c r="CE159" s="1"/>
      <c r="CF159" s="1"/>
      <c r="CG159" s="1"/>
      <c r="CH159" s="1"/>
      <c r="CI159" s="1"/>
      <c r="CJ159" s="1"/>
      <c r="CK159" s="1"/>
      <c r="CL159" s="1"/>
      <c r="CM159" s="1"/>
      <c r="CN159" s="1"/>
      <c r="CO159" s="1"/>
      <c r="CP159" s="1"/>
      <c r="CQ159" s="1"/>
      <c r="CR159" s="1"/>
      <c r="CS159" s="1"/>
      <c r="CT159" s="1"/>
      <c r="CU159" s="1"/>
      <c r="CV159" s="1"/>
      <c r="CW159" s="1"/>
      <c r="CX159" s="1"/>
      <c r="CY159" s="1"/>
      <c r="CZ159" s="1"/>
      <c r="DA159" s="1"/>
      <c r="DB159" s="1"/>
      <c r="DC159" s="1"/>
      <c r="DD159" s="1"/>
      <c r="DE159" s="1"/>
      <c r="DF159" s="1"/>
      <c r="DG159" s="1"/>
      <c r="DH159" s="1"/>
      <c r="DI159" s="1"/>
      <c r="DJ159" s="1"/>
      <c r="DK159" s="1"/>
      <c r="DL159" s="1"/>
      <c r="DM159" s="1"/>
      <c r="DN159" s="1"/>
      <c r="DO159" s="1"/>
      <c r="DP159" s="1"/>
      <c r="DQ159" s="1"/>
      <c r="DR159" s="1"/>
      <c r="DS159" s="1"/>
      <c r="DT159" s="1"/>
      <c r="DU159" s="1"/>
      <c r="DV159" s="1"/>
      <c r="DW159" s="1"/>
      <c r="DX159" s="1"/>
      <c r="DY159" s="1"/>
      <c r="DZ159" s="1"/>
      <c r="EA159" s="1"/>
      <c r="EB159" s="1"/>
      <c r="EC159" s="1"/>
      <c r="ED159" s="1"/>
      <c r="EE159" s="1"/>
      <c r="EF159" s="1"/>
      <c r="EG159" s="1"/>
      <c r="EH159" s="1"/>
      <c r="EI159" s="1"/>
      <c r="EJ159" s="1"/>
      <c r="EK159" s="1"/>
      <c r="EL159" s="1"/>
      <c r="EM159" s="1"/>
      <c r="EN159" s="1"/>
      <c r="EO159" s="1"/>
      <c r="EP159" s="1"/>
      <c r="EQ159" s="1"/>
      <c r="ER159" s="1"/>
      <c r="ES159" s="1"/>
      <c r="ET159" s="1"/>
      <c r="EU159" s="1"/>
      <c r="EV159" s="1"/>
      <c r="EW159" s="1"/>
      <c r="EX159" s="1"/>
      <c r="EY159" s="1"/>
      <c r="EZ159" s="1"/>
      <c r="FA159" s="1"/>
      <c r="FB159" s="1"/>
      <c r="FC159" s="1"/>
      <c r="FD159" s="1"/>
      <c r="FE159" s="1"/>
      <c r="FF159" s="1"/>
      <c r="FG159" s="1"/>
      <c r="FH159" s="1"/>
      <c r="FI159" s="1"/>
      <c r="FJ159" s="1"/>
      <c r="FK159" s="1"/>
      <c r="FL159" s="1"/>
      <c r="FM159" s="1"/>
      <c r="FN159" s="1"/>
      <c r="FO159" s="1"/>
      <c r="FP159" s="1"/>
      <c r="FQ159" s="1"/>
      <c r="FR159" s="1"/>
      <c r="FS159" s="1"/>
      <c r="FT159" s="1"/>
      <c r="FU159" s="1"/>
      <c r="FV159" s="1"/>
      <c r="FW159" s="1"/>
      <c r="FX159" s="1"/>
      <c r="FY159" s="1"/>
      <c r="FZ159" s="1"/>
      <c r="GA159" s="1"/>
      <c r="GB159" s="1"/>
      <c r="GC159" s="1"/>
      <c r="GD159" s="1"/>
      <c r="GE159" s="1"/>
      <c r="GF159" s="1"/>
      <c r="GG159" s="1"/>
      <c r="GH159" s="1"/>
      <c r="GI159" s="1"/>
      <c r="GJ159" s="1"/>
      <c r="GK159" s="1"/>
      <c r="GL159" s="1"/>
      <c r="GM159" s="1"/>
      <c r="GN159" s="1"/>
      <c r="GO159" s="1"/>
      <c r="GP159" s="1"/>
      <c r="GQ159" s="1"/>
      <c r="GR159" s="1"/>
      <c r="GS159" s="1"/>
      <c r="GT159" s="1"/>
      <c r="GU159" s="1"/>
      <c r="GV159" s="1"/>
      <c r="GW159" s="1"/>
      <c r="GX159" s="1"/>
      <c r="GY159" s="1"/>
      <c r="GZ159" s="1"/>
      <c r="HA159" s="1"/>
      <c r="HB159" s="1"/>
      <c r="HC159" s="1"/>
      <c r="HD159" s="1"/>
      <c r="HE159" s="1"/>
      <c r="HF159" s="1"/>
      <c r="HG159" s="1"/>
      <c r="HH159" s="1"/>
      <c r="HI159" s="1"/>
      <c r="HJ159" s="1"/>
      <c r="HK159" s="1"/>
      <c r="HL159" s="1"/>
      <c r="HM159" s="1"/>
      <c r="HN159" s="1"/>
      <c r="HO159" s="1"/>
      <c r="HP159" s="1"/>
      <c r="HQ159" s="1"/>
      <c r="HR159" s="1"/>
      <c r="HS159" s="1"/>
      <c r="HT159" s="1"/>
      <c r="HU159" s="1"/>
      <c r="HV159" s="1"/>
      <c r="HW159" s="1"/>
      <c r="HX159" s="1"/>
      <c r="HY159" s="1"/>
      <c r="HZ159" s="1"/>
      <c r="IA159" s="1"/>
      <c r="IB159" s="1"/>
      <c r="IC159" s="1"/>
      <c r="ID159" s="1"/>
      <c r="IE159" s="1"/>
      <c r="IF159" s="1"/>
      <c r="IG159" s="1"/>
      <c r="IH159" s="1"/>
      <c r="II159" s="1"/>
      <c r="IJ159" s="1"/>
      <c r="IK159" s="1"/>
      <c r="IL159" s="1"/>
      <c r="IM159" s="1"/>
      <c r="IN159" s="1"/>
      <c r="IO159" s="1"/>
      <c r="IP159" s="1"/>
      <c r="IQ159" s="1"/>
      <c r="IR159" s="1"/>
      <c r="IS159" s="1"/>
      <c r="IT159" s="1"/>
      <c r="IU159" s="1"/>
      <c r="IV159" s="1"/>
    </row>
    <row r="160" spans="1:256" ht="51" customHeight="1" x14ac:dyDescent="0.3">
      <c r="A160" s="1403">
        <v>151</v>
      </c>
      <c r="B160" s="1"/>
      <c r="C160" s="1417"/>
      <c r="D160" s="1721" t="s">
        <v>1017</v>
      </c>
      <c r="E160" s="958">
        <v>1700</v>
      </c>
      <c r="F160" s="1"/>
      <c r="G160" s="1"/>
      <c r="H160" s="1"/>
      <c r="I160" s="1"/>
      <c r="J160" s="1"/>
      <c r="K160" s="1"/>
      <c r="L160" s="1"/>
      <c r="M160" s="1"/>
      <c r="N160" s="1"/>
      <c r="O160" s="1"/>
      <c r="P160" s="1"/>
      <c r="Q160" s="1"/>
      <c r="R160" s="1"/>
      <c r="S160" s="1"/>
      <c r="T160" s="1"/>
      <c r="U160" s="1"/>
      <c r="V160" s="1"/>
      <c r="W160" s="1"/>
      <c r="X160" s="1"/>
      <c r="Y160" s="1"/>
      <c r="Z160" s="1"/>
      <c r="AA160" s="1"/>
      <c r="AB160" s="1"/>
      <c r="AC160" s="1"/>
      <c r="AD160" s="1"/>
      <c r="AE160" s="1"/>
      <c r="AF160" s="1"/>
      <c r="AG160" s="1"/>
      <c r="AH160" s="1"/>
      <c r="AI160" s="1"/>
      <c r="AJ160" s="1"/>
      <c r="AK160" s="1"/>
      <c r="AL160" s="1"/>
      <c r="AM160" s="1"/>
      <c r="AN160" s="1"/>
      <c r="AO160" s="1"/>
      <c r="AP160" s="1"/>
      <c r="AQ160" s="1"/>
      <c r="AR160" s="1"/>
      <c r="AS160" s="1"/>
      <c r="AT160" s="1"/>
      <c r="AU160" s="1"/>
      <c r="AV160" s="1"/>
      <c r="AW160" s="1"/>
      <c r="AX160" s="1"/>
      <c r="AY160" s="1"/>
      <c r="AZ160" s="1"/>
      <c r="BA160" s="1"/>
      <c r="BB160" s="1"/>
      <c r="BC160" s="1"/>
      <c r="BD160" s="1"/>
      <c r="BE160" s="1"/>
      <c r="BF160" s="1"/>
      <c r="BG160" s="1"/>
      <c r="BH160" s="1"/>
      <c r="BI160" s="1"/>
      <c r="BJ160" s="1"/>
      <c r="BK160" s="1"/>
      <c r="BL160" s="1"/>
      <c r="BM160" s="1"/>
      <c r="BN160" s="1"/>
      <c r="BO160" s="1"/>
      <c r="BP160" s="1"/>
      <c r="BQ160" s="1"/>
      <c r="BR160" s="1"/>
      <c r="BS160" s="1"/>
      <c r="BT160" s="1"/>
      <c r="BU160" s="1"/>
      <c r="BV160" s="1"/>
      <c r="BW160" s="1"/>
      <c r="BX160" s="1"/>
      <c r="BY160" s="1"/>
      <c r="BZ160" s="1"/>
      <c r="CA160" s="1"/>
      <c r="CB160" s="1"/>
      <c r="CC160" s="1"/>
      <c r="CD160" s="1"/>
      <c r="CE160" s="1"/>
      <c r="CF160" s="1"/>
      <c r="CG160" s="1"/>
      <c r="CH160" s="1"/>
      <c r="CI160" s="1"/>
      <c r="CJ160" s="1"/>
      <c r="CK160" s="1"/>
      <c r="CL160" s="1"/>
      <c r="CM160" s="1"/>
      <c r="CN160" s="1"/>
      <c r="CO160" s="1"/>
      <c r="CP160" s="1"/>
      <c r="CQ160" s="1"/>
      <c r="CR160" s="1"/>
      <c r="CS160" s="1"/>
      <c r="CT160" s="1"/>
      <c r="CU160" s="1"/>
      <c r="CV160" s="1"/>
      <c r="CW160" s="1"/>
      <c r="CX160" s="1"/>
      <c r="CY160" s="1"/>
      <c r="CZ160" s="1"/>
      <c r="DA160" s="1"/>
      <c r="DB160" s="1"/>
      <c r="DC160" s="1"/>
      <c r="DD160" s="1"/>
      <c r="DE160" s="1"/>
      <c r="DF160" s="1"/>
      <c r="DG160" s="1"/>
      <c r="DH160" s="1"/>
      <c r="DI160" s="1"/>
      <c r="DJ160" s="1"/>
      <c r="DK160" s="1"/>
      <c r="DL160" s="1"/>
      <c r="DM160" s="1"/>
      <c r="DN160" s="1"/>
      <c r="DO160" s="1"/>
      <c r="DP160" s="1"/>
      <c r="DQ160" s="1"/>
      <c r="DR160" s="1"/>
      <c r="DS160" s="1"/>
      <c r="DT160" s="1"/>
      <c r="DU160" s="1"/>
      <c r="DV160" s="1"/>
      <c r="DW160" s="1"/>
      <c r="DX160" s="1"/>
      <c r="DY160" s="1"/>
      <c r="DZ160" s="1"/>
      <c r="EA160" s="1"/>
      <c r="EB160" s="1"/>
      <c r="EC160" s="1"/>
      <c r="ED160" s="1"/>
      <c r="EE160" s="1"/>
      <c r="EF160" s="1"/>
      <c r="EG160" s="1"/>
      <c r="EH160" s="1"/>
      <c r="EI160" s="1"/>
      <c r="EJ160" s="1"/>
      <c r="EK160" s="1"/>
      <c r="EL160" s="1"/>
      <c r="EM160" s="1"/>
      <c r="EN160" s="1"/>
      <c r="EO160" s="1"/>
      <c r="EP160" s="1"/>
      <c r="EQ160" s="1"/>
      <c r="ER160" s="1"/>
      <c r="ES160" s="1"/>
      <c r="ET160" s="1"/>
      <c r="EU160" s="1"/>
      <c r="EV160" s="1"/>
      <c r="EW160" s="1"/>
      <c r="EX160" s="1"/>
      <c r="EY160" s="1"/>
      <c r="EZ160" s="1"/>
      <c r="FA160" s="1"/>
      <c r="FB160" s="1"/>
      <c r="FC160" s="1"/>
      <c r="FD160" s="1"/>
      <c r="FE160" s="1"/>
      <c r="FF160" s="1"/>
      <c r="FG160" s="1"/>
      <c r="FH160" s="1"/>
      <c r="FI160" s="1"/>
      <c r="FJ160" s="1"/>
      <c r="FK160" s="1"/>
      <c r="FL160" s="1"/>
      <c r="FM160" s="1"/>
      <c r="FN160" s="1"/>
      <c r="FO160" s="1"/>
      <c r="FP160" s="1"/>
      <c r="FQ160" s="1"/>
      <c r="FR160" s="1"/>
      <c r="FS160" s="1"/>
      <c r="FT160" s="1"/>
      <c r="FU160" s="1"/>
      <c r="FV160" s="1"/>
      <c r="FW160" s="1"/>
      <c r="FX160" s="1"/>
      <c r="FY160" s="1"/>
      <c r="FZ160" s="1"/>
      <c r="GA160" s="1"/>
      <c r="GB160" s="1"/>
      <c r="GC160" s="1"/>
      <c r="GD160" s="1"/>
      <c r="GE160" s="1"/>
      <c r="GF160" s="1"/>
      <c r="GG160" s="1"/>
      <c r="GH160" s="1"/>
      <c r="GI160" s="1"/>
      <c r="GJ160" s="1"/>
      <c r="GK160" s="1"/>
      <c r="GL160" s="1"/>
      <c r="GM160" s="1"/>
      <c r="GN160" s="1"/>
      <c r="GO160" s="1"/>
      <c r="GP160" s="1"/>
      <c r="GQ160" s="1"/>
      <c r="GR160" s="1"/>
      <c r="GS160" s="1"/>
      <c r="GT160" s="1"/>
      <c r="GU160" s="1"/>
      <c r="GV160" s="1"/>
      <c r="GW160" s="1"/>
      <c r="GX160" s="1"/>
      <c r="GY160" s="1"/>
      <c r="GZ160" s="1"/>
      <c r="HA160" s="1"/>
      <c r="HB160" s="1"/>
      <c r="HC160" s="1"/>
      <c r="HD160" s="1"/>
      <c r="HE160" s="1"/>
      <c r="HF160" s="1"/>
      <c r="HG160" s="1"/>
      <c r="HH160" s="1"/>
      <c r="HI160" s="1"/>
      <c r="HJ160" s="1"/>
      <c r="HK160" s="1"/>
      <c r="HL160" s="1"/>
      <c r="HM160" s="1"/>
      <c r="HN160" s="1"/>
      <c r="HO160" s="1"/>
      <c r="HP160" s="1"/>
      <c r="HQ160" s="1"/>
      <c r="HR160" s="1"/>
      <c r="HS160" s="1"/>
      <c r="HT160" s="1"/>
      <c r="HU160" s="1"/>
      <c r="HV160" s="1"/>
      <c r="HW160" s="1"/>
      <c r="HX160" s="1"/>
      <c r="HY160" s="1"/>
      <c r="HZ160" s="1"/>
      <c r="IA160" s="1"/>
      <c r="IB160" s="1"/>
      <c r="IC160" s="1"/>
      <c r="ID160" s="1"/>
      <c r="IE160" s="1"/>
      <c r="IF160" s="1"/>
      <c r="IG160" s="1"/>
      <c r="IH160" s="1"/>
      <c r="II160" s="1"/>
      <c r="IJ160" s="1"/>
      <c r="IK160" s="1"/>
      <c r="IL160" s="1"/>
      <c r="IM160" s="1"/>
      <c r="IN160" s="1"/>
      <c r="IO160" s="1"/>
      <c r="IP160" s="1"/>
      <c r="IQ160" s="1"/>
      <c r="IR160" s="1"/>
      <c r="IS160" s="1"/>
      <c r="IT160" s="1"/>
      <c r="IU160" s="1"/>
      <c r="IV160" s="1"/>
    </row>
    <row r="161" spans="1:256" ht="35.25" customHeight="1" x14ac:dyDescent="0.3">
      <c r="A161" s="1403">
        <v>152</v>
      </c>
      <c r="B161" s="1"/>
      <c r="C161" s="1417"/>
      <c r="D161" s="1684" t="s">
        <v>1018</v>
      </c>
      <c r="E161" s="958">
        <v>5717</v>
      </c>
      <c r="F161" s="1"/>
      <c r="G161" s="1"/>
      <c r="H161" s="1"/>
      <c r="I161" s="1"/>
      <c r="J161" s="1"/>
      <c r="K161" s="1"/>
      <c r="L161" s="1"/>
      <c r="M161" s="1"/>
      <c r="N161" s="1"/>
      <c r="O161" s="1"/>
      <c r="P161" s="1"/>
      <c r="Q161" s="1"/>
      <c r="R161" s="1"/>
      <c r="S161" s="1"/>
      <c r="T161" s="1"/>
      <c r="U161" s="1"/>
      <c r="V161" s="1"/>
      <c r="W161" s="1"/>
      <c r="X161" s="1"/>
      <c r="Y161" s="1"/>
      <c r="Z161" s="1"/>
      <c r="AA161" s="1"/>
      <c r="AB161" s="1"/>
      <c r="AC161" s="1"/>
      <c r="AD161" s="1"/>
      <c r="AE161" s="1"/>
      <c r="AF161" s="1"/>
      <c r="AG161" s="1"/>
      <c r="AH161" s="1"/>
      <c r="AI161" s="1"/>
      <c r="AJ161" s="1"/>
      <c r="AK161" s="1"/>
      <c r="AL161" s="1"/>
      <c r="AM161" s="1"/>
      <c r="AN161" s="1"/>
      <c r="AO161" s="1"/>
      <c r="AP161" s="1"/>
      <c r="AQ161" s="1"/>
      <c r="AR161" s="1"/>
      <c r="AS161" s="1"/>
      <c r="AT161" s="1"/>
      <c r="AU161" s="1"/>
      <c r="AV161" s="1"/>
      <c r="AW161" s="1"/>
      <c r="AX161" s="1"/>
      <c r="AY161" s="1"/>
      <c r="AZ161" s="1"/>
      <c r="BA161" s="1"/>
      <c r="BB161" s="1"/>
      <c r="BC161" s="1"/>
      <c r="BD161" s="1"/>
      <c r="BE161" s="1"/>
      <c r="BF161" s="1"/>
      <c r="BG161" s="1"/>
      <c r="BH161" s="1"/>
      <c r="BI161" s="1"/>
      <c r="BJ161" s="1"/>
      <c r="BK161" s="1"/>
      <c r="BL161" s="1"/>
      <c r="BM161" s="1"/>
      <c r="BN161" s="1"/>
      <c r="BO161" s="1"/>
      <c r="BP161" s="1"/>
      <c r="BQ161" s="1"/>
      <c r="BR161" s="1"/>
      <c r="BS161" s="1"/>
      <c r="BT161" s="1"/>
      <c r="BU161" s="1"/>
      <c r="BV161" s="1"/>
      <c r="BW161" s="1"/>
      <c r="BX161" s="1"/>
      <c r="BY161" s="1"/>
      <c r="BZ161" s="1"/>
      <c r="CA161" s="1"/>
      <c r="CB161" s="1"/>
      <c r="CC161" s="1"/>
      <c r="CD161" s="1"/>
      <c r="CE161" s="1"/>
      <c r="CF161" s="1"/>
      <c r="CG161" s="1"/>
      <c r="CH161" s="1"/>
      <c r="CI161" s="1"/>
      <c r="CJ161" s="1"/>
      <c r="CK161" s="1"/>
      <c r="CL161" s="1"/>
      <c r="CM161" s="1"/>
      <c r="CN161" s="1"/>
      <c r="CO161" s="1"/>
      <c r="CP161" s="1"/>
      <c r="CQ161" s="1"/>
      <c r="CR161" s="1"/>
      <c r="CS161" s="1"/>
      <c r="CT161" s="1"/>
      <c r="CU161" s="1"/>
      <c r="CV161" s="1"/>
      <c r="CW161" s="1"/>
      <c r="CX161" s="1"/>
      <c r="CY161" s="1"/>
      <c r="CZ161" s="1"/>
      <c r="DA161" s="1"/>
      <c r="DB161" s="1"/>
      <c r="DC161" s="1"/>
      <c r="DD161" s="1"/>
      <c r="DE161" s="1"/>
      <c r="DF161" s="1"/>
      <c r="DG161" s="1"/>
      <c r="DH161" s="1"/>
      <c r="DI161" s="1"/>
      <c r="DJ161" s="1"/>
      <c r="DK161" s="1"/>
      <c r="DL161" s="1"/>
      <c r="DM161" s="1"/>
      <c r="DN161" s="1"/>
      <c r="DO161" s="1"/>
      <c r="DP161" s="1"/>
      <c r="DQ161" s="1"/>
      <c r="DR161" s="1"/>
      <c r="DS161" s="1"/>
      <c r="DT161" s="1"/>
      <c r="DU161" s="1"/>
      <c r="DV161" s="1"/>
      <c r="DW161" s="1"/>
      <c r="DX161" s="1"/>
      <c r="DY161" s="1"/>
      <c r="DZ161" s="1"/>
      <c r="EA161" s="1"/>
      <c r="EB161" s="1"/>
      <c r="EC161" s="1"/>
      <c r="ED161" s="1"/>
      <c r="EE161" s="1"/>
      <c r="EF161" s="1"/>
      <c r="EG161" s="1"/>
      <c r="EH161" s="1"/>
      <c r="EI161" s="1"/>
      <c r="EJ161" s="1"/>
      <c r="EK161" s="1"/>
      <c r="EL161" s="1"/>
      <c r="EM161" s="1"/>
      <c r="EN161" s="1"/>
      <c r="EO161" s="1"/>
      <c r="EP161" s="1"/>
      <c r="EQ161" s="1"/>
      <c r="ER161" s="1"/>
      <c r="ES161" s="1"/>
      <c r="ET161" s="1"/>
      <c r="EU161" s="1"/>
      <c r="EV161" s="1"/>
      <c r="EW161" s="1"/>
      <c r="EX161" s="1"/>
      <c r="EY161" s="1"/>
      <c r="EZ161" s="1"/>
      <c r="FA161" s="1"/>
      <c r="FB161" s="1"/>
      <c r="FC161" s="1"/>
      <c r="FD161" s="1"/>
      <c r="FE161" s="1"/>
      <c r="FF161" s="1"/>
      <c r="FG161" s="1"/>
      <c r="FH161" s="1"/>
      <c r="FI161" s="1"/>
      <c r="FJ161" s="1"/>
      <c r="FK161" s="1"/>
      <c r="FL161" s="1"/>
      <c r="FM161" s="1"/>
      <c r="FN161" s="1"/>
      <c r="FO161" s="1"/>
      <c r="FP161" s="1"/>
      <c r="FQ161" s="1"/>
      <c r="FR161" s="1"/>
      <c r="FS161" s="1"/>
      <c r="FT161" s="1"/>
      <c r="FU161" s="1"/>
      <c r="FV161" s="1"/>
      <c r="FW161" s="1"/>
      <c r="FX161" s="1"/>
      <c r="FY161" s="1"/>
      <c r="FZ161" s="1"/>
      <c r="GA161" s="1"/>
      <c r="GB161" s="1"/>
      <c r="GC161" s="1"/>
      <c r="GD161" s="1"/>
      <c r="GE161" s="1"/>
      <c r="GF161" s="1"/>
      <c r="GG161" s="1"/>
      <c r="GH161" s="1"/>
      <c r="GI161" s="1"/>
      <c r="GJ161" s="1"/>
      <c r="GK161" s="1"/>
      <c r="GL161" s="1"/>
      <c r="GM161" s="1"/>
      <c r="GN161" s="1"/>
      <c r="GO161" s="1"/>
      <c r="GP161" s="1"/>
      <c r="GQ161" s="1"/>
      <c r="GR161" s="1"/>
      <c r="GS161" s="1"/>
      <c r="GT161" s="1"/>
      <c r="GU161" s="1"/>
      <c r="GV161" s="1"/>
      <c r="GW161" s="1"/>
      <c r="GX161" s="1"/>
      <c r="GY161" s="1"/>
      <c r="GZ161" s="1"/>
      <c r="HA161" s="1"/>
      <c r="HB161" s="1"/>
      <c r="HC161" s="1"/>
      <c r="HD161" s="1"/>
      <c r="HE161" s="1"/>
      <c r="HF161" s="1"/>
      <c r="HG161" s="1"/>
      <c r="HH161" s="1"/>
      <c r="HI161" s="1"/>
      <c r="HJ161" s="1"/>
      <c r="HK161" s="1"/>
      <c r="HL161" s="1"/>
      <c r="HM161" s="1"/>
      <c r="HN161" s="1"/>
      <c r="HO161" s="1"/>
      <c r="HP161" s="1"/>
      <c r="HQ161" s="1"/>
      <c r="HR161" s="1"/>
      <c r="HS161" s="1"/>
      <c r="HT161" s="1"/>
      <c r="HU161" s="1"/>
      <c r="HV161" s="1"/>
      <c r="HW161" s="1"/>
      <c r="HX161" s="1"/>
      <c r="HY161" s="1"/>
      <c r="HZ161" s="1"/>
      <c r="IA161" s="1"/>
      <c r="IB161" s="1"/>
      <c r="IC161" s="1"/>
      <c r="ID161" s="1"/>
      <c r="IE161" s="1"/>
      <c r="IF161" s="1"/>
      <c r="IG161" s="1"/>
      <c r="IH161" s="1"/>
      <c r="II161" s="1"/>
      <c r="IJ161" s="1"/>
      <c r="IK161" s="1"/>
      <c r="IL161" s="1"/>
      <c r="IM161" s="1"/>
      <c r="IN161" s="1"/>
      <c r="IO161" s="1"/>
      <c r="IP161" s="1"/>
      <c r="IQ161" s="1"/>
      <c r="IR161" s="1"/>
      <c r="IS161" s="1"/>
      <c r="IT161" s="1"/>
      <c r="IU161" s="1"/>
      <c r="IV161" s="1"/>
    </row>
    <row r="162" spans="1:256" ht="18" customHeight="1" x14ac:dyDescent="0.3">
      <c r="A162" s="1403">
        <v>153</v>
      </c>
      <c r="B162" s="1"/>
      <c r="C162" s="1417"/>
      <c r="D162" s="1409" t="s">
        <v>1019</v>
      </c>
      <c r="E162" s="958">
        <f>124705+33670</f>
        <v>158375</v>
      </c>
      <c r="F162" s="1"/>
      <c r="G162" s="1"/>
      <c r="H162" s="1"/>
      <c r="I162" s="1"/>
      <c r="J162" s="1"/>
      <c r="K162" s="1"/>
      <c r="L162" s="1"/>
      <c r="M162" s="1"/>
      <c r="N162" s="1"/>
      <c r="O162" s="1"/>
      <c r="P162" s="1"/>
      <c r="Q162" s="1"/>
      <c r="R162" s="1"/>
      <c r="S162" s="1"/>
      <c r="T162" s="1"/>
      <c r="U162" s="1"/>
      <c r="V162" s="1"/>
      <c r="W162" s="1"/>
      <c r="X162" s="1"/>
      <c r="Y162" s="1"/>
      <c r="Z162" s="1"/>
      <c r="AA162" s="1"/>
      <c r="AB162" s="1"/>
      <c r="AC162" s="1"/>
      <c r="AD162" s="1"/>
      <c r="AE162" s="1"/>
      <c r="AF162" s="1"/>
      <c r="AG162" s="1"/>
      <c r="AH162" s="1"/>
      <c r="AI162" s="1"/>
      <c r="AJ162" s="1"/>
      <c r="AK162" s="1"/>
      <c r="AL162" s="1"/>
      <c r="AM162" s="1"/>
      <c r="AN162" s="1"/>
      <c r="AO162" s="1"/>
      <c r="AP162" s="1"/>
      <c r="AQ162" s="1"/>
      <c r="AR162" s="1"/>
      <c r="AS162" s="1"/>
      <c r="AT162" s="1"/>
      <c r="AU162" s="1"/>
      <c r="AV162" s="1"/>
      <c r="AW162" s="1"/>
      <c r="AX162" s="1"/>
      <c r="AY162" s="1"/>
      <c r="AZ162" s="1"/>
      <c r="BA162" s="1"/>
      <c r="BB162" s="1"/>
      <c r="BC162" s="1"/>
      <c r="BD162" s="1"/>
      <c r="BE162" s="1"/>
      <c r="BF162" s="1"/>
      <c r="BG162" s="1"/>
      <c r="BH162" s="1"/>
      <c r="BI162" s="1"/>
      <c r="BJ162" s="1"/>
      <c r="BK162" s="1"/>
      <c r="BL162" s="1"/>
      <c r="BM162" s="1"/>
      <c r="BN162" s="1"/>
      <c r="BO162" s="1"/>
      <c r="BP162" s="1"/>
      <c r="BQ162" s="1"/>
      <c r="BR162" s="1"/>
      <c r="BS162" s="1"/>
      <c r="BT162" s="1"/>
      <c r="BU162" s="1"/>
      <c r="BV162" s="1"/>
      <c r="BW162" s="1"/>
      <c r="BX162" s="1"/>
      <c r="BY162" s="1"/>
      <c r="BZ162" s="1"/>
      <c r="CA162" s="1"/>
      <c r="CB162" s="1"/>
      <c r="CC162" s="1"/>
      <c r="CD162" s="1"/>
      <c r="CE162" s="1"/>
      <c r="CF162" s="1"/>
      <c r="CG162" s="1"/>
      <c r="CH162" s="1"/>
      <c r="CI162" s="1"/>
      <c r="CJ162" s="1"/>
      <c r="CK162" s="1"/>
      <c r="CL162" s="1"/>
      <c r="CM162" s="1"/>
      <c r="CN162" s="1"/>
      <c r="CO162" s="1"/>
      <c r="CP162" s="1"/>
      <c r="CQ162" s="1"/>
      <c r="CR162" s="1"/>
      <c r="CS162" s="1"/>
      <c r="CT162" s="1"/>
      <c r="CU162" s="1"/>
      <c r="CV162" s="1"/>
      <c r="CW162" s="1"/>
      <c r="CX162" s="1"/>
      <c r="CY162" s="1"/>
      <c r="CZ162" s="1"/>
      <c r="DA162" s="1"/>
      <c r="DB162" s="1"/>
      <c r="DC162" s="1"/>
      <c r="DD162" s="1"/>
      <c r="DE162" s="1"/>
      <c r="DF162" s="1"/>
      <c r="DG162" s="1"/>
      <c r="DH162" s="1"/>
      <c r="DI162" s="1"/>
      <c r="DJ162" s="1"/>
      <c r="DK162" s="1"/>
      <c r="DL162" s="1"/>
      <c r="DM162" s="1"/>
      <c r="DN162" s="1"/>
      <c r="DO162" s="1"/>
      <c r="DP162" s="1"/>
      <c r="DQ162" s="1"/>
      <c r="DR162" s="1"/>
      <c r="DS162" s="1"/>
      <c r="DT162" s="1"/>
      <c r="DU162" s="1"/>
      <c r="DV162" s="1"/>
      <c r="DW162" s="1"/>
      <c r="DX162" s="1"/>
      <c r="DY162" s="1"/>
      <c r="DZ162" s="1"/>
      <c r="EA162" s="1"/>
      <c r="EB162" s="1"/>
      <c r="EC162" s="1"/>
      <c r="ED162" s="1"/>
      <c r="EE162" s="1"/>
      <c r="EF162" s="1"/>
      <c r="EG162" s="1"/>
      <c r="EH162" s="1"/>
      <c r="EI162" s="1"/>
      <c r="EJ162" s="1"/>
      <c r="EK162" s="1"/>
      <c r="EL162" s="1"/>
      <c r="EM162" s="1"/>
      <c r="EN162" s="1"/>
      <c r="EO162" s="1"/>
      <c r="EP162" s="1"/>
      <c r="EQ162" s="1"/>
      <c r="ER162" s="1"/>
      <c r="ES162" s="1"/>
      <c r="ET162" s="1"/>
      <c r="EU162" s="1"/>
      <c r="EV162" s="1"/>
      <c r="EW162" s="1"/>
      <c r="EX162" s="1"/>
      <c r="EY162" s="1"/>
      <c r="EZ162" s="1"/>
      <c r="FA162" s="1"/>
      <c r="FB162" s="1"/>
      <c r="FC162" s="1"/>
      <c r="FD162" s="1"/>
      <c r="FE162" s="1"/>
      <c r="FF162" s="1"/>
      <c r="FG162" s="1"/>
      <c r="FH162" s="1"/>
      <c r="FI162" s="1"/>
      <c r="FJ162" s="1"/>
      <c r="FK162" s="1"/>
      <c r="FL162" s="1"/>
      <c r="FM162" s="1"/>
      <c r="FN162" s="1"/>
      <c r="FO162" s="1"/>
      <c r="FP162" s="1"/>
      <c r="FQ162" s="1"/>
      <c r="FR162" s="1"/>
      <c r="FS162" s="1"/>
      <c r="FT162" s="1"/>
      <c r="FU162" s="1"/>
      <c r="FV162" s="1"/>
      <c r="FW162" s="1"/>
      <c r="FX162" s="1"/>
      <c r="FY162" s="1"/>
      <c r="FZ162" s="1"/>
      <c r="GA162" s="1"/>
      <c r="GB162" s="1"/>
      <c r="GC162" s="1"/>
      <c r="GD162" s="1"/>
      <c r="GE162" s="1"/>
      <c r="GF162" s="1"/>
      <c r="GG162" s="1"/>
      <c r="GH162" s="1"/>
      <c r="GI162" s="1"/>
      <c r="GJ162" s="1"/>
      <c r="GK162" s="1"/>
      <c r="GL162" s="1"/>
      <c r="GM162" s="1"/>
      <c r="GN162" s="1"/>
      <c r="GO162" s="1"/>
      <c r="GP162" s="1"/>
      <c r="GQ162" s="1"/>
      <c r="GR162" s="1"/>
      <c r="GS162" s="1"/>
      <c r="GT162" s="1"/>
      <c r="GU162" s="1"/>
      <c r="GV162" s="1"/>
      <c r="GW162" s="1"/>
      <c r="GX162" s="1"/>
      <c r="GY162" s="1"/>
      <c r="GZ162" s="1"/>
      <c r="HA162" s="1"/>
      <c r="HB162" s="1"/>
      <c r="HC162" s="1"/>
      <c r="HD162" s="1"/>
      <c r="HE162" s="1"/>
      <c r="HF162" s="1"/>
      <c r="HG162" s="1"/>
      <c r="HH162" s="1"/>
      <c r="HI162" s="1"/>
      <c r="HJ162" s="1"/>
      <c r="HK162" s="1"/>
      <c r="HL162" s="1"/>
      <c r="HM162" s="1"/>
      <c r="HN162" s="1"/>
      <c r="HO162" s="1"/>
      <c r="HP162" s="1"/>
      <c r="HQ162" s="1"/>
      <c r="HR162" s="1"/>
      <c r="HS162" s="1"/>
      <c r="HT162" s="1"/>
      <c r="HU162" s="1"/>
      <c r="HV162" s="1"/>
      <c r="HW162" s="1"/>
      <c r="HX162" s="1"/>
      <c r="HY162" s="1"/>
      <c r="HZ162" s="1"/>
      <c r="IA162" s="1"/>
      <c r="IB162" s="1"/>
      <c r="IC162" s="1"/>
      <c r="ID162" s="1"/>
      <c r="IE162" s="1"/>
      <c r="IF162" s="1"/>
      <c r="IG162" s="1"/>
      <c r="IH162" s="1"/>
      <c r="II162" s="1"/>
      <c r="IJ162" s="1"/>
      <c r="IK162" s="1"/>
      <c r="IL162" s="1"/>
      <c r="IM162" s="1"/>
      <c r="IN162" s="1"/>
      <c r="IO162" s="1"/>
      <c r="IP162" s="1"/>
      <c r="IQ162" s="1"/>
      <c r="IR162" s="1"/>
      <c r="IS162" s="1"/>
      <c r="IT162" s="1"/>
      <c r="IU162" s="1"/>
      <c r="IV162" s="1"/>
    </row>
    <row r="163" spans="1:256" ht="33.75" customHeight="1" x14ac:dyDescent="0.3">
      <c r="A163" s="1403">
        <v>154</v>
      </c>
      <c r="B163" s="1"/>
      <c r="C163" s="1417"/>
      <c r="D163" s="1684" t="s">
        <v>1020</v>
      </c>
      <c r="E163" s="958">
        <v>500</v>
      </c>
      <c r="F163" s="1"/>
      <c r="G163" s="1"/>
      <c r="H163" s="1"/>
      <c r="I163" s="1"/>
      <c r="J163" s="1"/>
      <c r="K163" s="1"/>
      <c r="L163" s="1"/>
      <c r="M163" s="1"/>
      <c r="N163" s="1"/>
      <c r="O163" s="1"/>
      <c r="P163" s="1"/>
      <c r="Q163" s="1"/>
      <c r="R163" s="1"/>
      <c r="S163" s="1"/>
      <c r="T163" s="1"/>
      <c r="U163" s="1"/>
      <c r="V163" s="1"/>
      <c r="W163" s="1"/>
      <c r="X163" s="1"/>
      <c r="Y163" s="1"/>
      <c r="Z163" s="1"/>
      <c r="AA163" s="1"/>
      <c r="AB163" s="1"/>
      <c r="AC163" s="1"/>
      <c r="AD163" s="1"/>
      <c r="AE163" s="1"/>
      <c r="AF163" s="1"/>
      <c r="AG163" s="1"/>
      <c r="AH163" s="1"/>
      <c r="AI163" s="1"/>
      <c r="AJ163" s="1"/>
      <c r="AK163" s="1"/>
      <c r="AL163" s="1"/>
      <c r="AM163" s="1"/>
      <c r="AN163" s="1"/>
      <c r="AO163" s="1"/>
      <c r="AP163" s="1"/>
      <c r="AQ163" s="1"/>
      <c r="AR163" s="1"/>
      <c r="AS163" s="1"/>
      <c r="AT163" s="1"/>
      <c r="AU163" s="1"/>
      <c r="AV163" s="1"/>
      <c r="AW163" s="1"/>
      <c r="AX163" s="1"/>
      <c r="AY163" s="1"/>
      <c r="AZ163" s="1"/>
      <c r="BA163" s="1"/>
      <c r="BB163" s="1"/>
      <c r="BC163" s="1"/>
      <c r="BD163" s="1"/>
      <c r="BE163" s="1"/>
      <c r="BF163" s="1"/>
      <c r="BG163" s="1"/>
      <c r="BH163" s="1"/>
      <c r="BI163" s="1"/>
      <c r="BJ163" s="1"/>
      <c r="BK163" s="1"/>
      <c r="BL163" s="1"/>
      <c r="BM163" s="1"/>
      <c r="BN163" s="1"/>
      <c r="BO163" s="1"/>
      <c r="BP163" s="1"/>
      <c r="BQ163" s="1"/>
      <c r="BR163" s="1"/>
      <c r="BS163" s="1"/>
      <c r="BT163" s="1"/>
      <c r="BU163" s="1"/>
      <c r="BV163" s="1"/>
      <c r="BW163" s="1"/>
      <c r="BX163" s="1"/>
      <c r="BY163" s="1"/>
      <c r="BZ163" s="1"/>
      <c r="CA163" s="1"/>
      <c r="CB163" s="1"/>
      <c r="CC163" s="1"/>
      <c r="CD163" s="1"/>
      <c r="CE163" s="1"/>
      <c r="CF163" s="1"/>
      <c r="CG163" s="1"/>
      <c r="CH163" s="1"/>
      <c r="CI163" s="1"/>
      <c r="CJ163" s="1"/>
      <c r="CK163" s="1"/>
      <c r="CL163" s="1"/>
      <c r="CM163" s="1"/>
      <c r="CN163" s="1"/>
      <c r="CO163" s="1"/>
      <c r="CP163" s="1"/>
      <c r="CQ163" s="1"/>
      <c r="CR163" s="1"/>
      <c r="CS163" s="1"/>
      <c r="CT163" s="1"/>
      <c r="CU163" s="1"/>
      <c r="CV163" s="1"/>
      <c r="CW163" s="1"/>
      <c r="CX163" s="1"/>
      <c r="CY163" s="1"/>
      <c r="CZ163" s="1"/>
      <c r="DA163" s="1"/>
      <c r="DB163" s="1"/>
      <c r="DC163" s="1"/>
      <c r="DD163" s="1"/>
      <c r="DE163" s="1"/>
      <c r="DF163" s="1"/>
      <c r="DG163" s="1"/>
      <c r="DH163" s="1"/>
      <c r="DI163" s="1"/>
      <c r="DJ163" s="1"/>
      <c r="DK163" s="1"/>
      <c r="DL163" s="1"/>
      <c r="DM163" s="1"/>
      <c r="DN163" s="1"/>
      <c r="DO163" s="1"/>
      <c r="DP163" s="1"/>
      <c r="DQ163" s="1"/>
      <c r="DR163" s="1"/>
      <c r="DS163" s="1"/>
      <c r="DT163" s="1"/>
      <c r="DU163" s="1"/>
      <c r="DV163" s="1"/>
      <c r="DW163" s="1"/>
      <c r="DX163" s="1"/>
      <c r="DY163" s="1"/>
      <c r="DZ163" s="1"/>
      <c r="EA163" s="1"/>
      <c r="EB163" s="1"/>
      <c r="EC163" s="1"/>
      <c r="ED163" s="1"/>
      <c r="EE163" s="1"/>
      <c r="EF163" s="1"/>
      <c r="EG163" s="1"/>
      <c r="EH163" s="1"/>
      <c r="EI163" s="1"/>
      <c r="EJ163" s="1"/>
      <c r="EK163" s="1"/>
      <c r="EL163" s="1"/>
      <c r="EM163" s="1"/>
      <c r="EN163" s="1"/>
      <c r="EO163" s="1"/>
      <c r="EP163" s="1"/>
      <c r="EQ163" s="1"/>
      <c r="ER163" s="1"/>
      <c r="ES163" s="1"/>
      <c r="ET163" s="1"/>
      <c r="EU163" s="1"/>
      <c r="EV163" s="1"/>
      <c r="EW163" s="1"/>
      <c r="EX163" s="1"/>
      <c r="EY163" s="1"/>
      <c r="EZ163" s="1"/>
      <c r="FA163" s="1"/>
      <c r="FB163" s="1"/>
      <c r="FC163" s="1"/>
      <c r="FD163" s="1"/>
      <c r="FE163" s="1"/>
      <c r="FF163" s="1"/>
      <c r="FG163" s="1"/>
      <c r="FH163" s="1"/>
      <c r="FI163" s="1"/>
      <c r="FJ163" s="1"/>
      <c r="FK163" s="1"/>
      <c r="FL163" s="1"/>
      <c r="FM163" s="1"/>
      <c r="FN163" s="1"/>
      <c r="FO163" s="1"/>
      <c r="FP163" s="1"/>
      <c r="FQ163" s="1"/>
      <c r="FR163" s="1"/>
      <c r="FS163" s="1"/>
      <c r="FT163" s="1"/>
      <c r="FU163" s="1"/>
      <c r="FV163" s="1"/>
      <c r="FW163" s="1"/>
      <c r="FX163" s="1"/>
      <c r="FY163" s="1"/>
      <c r="FZ163" s="1"/>
      <c r="GA163" s="1"/>
      <c r="GB163" s="1"/>
      <c r="GC163" s="1"/>
      <c r="GD163" s="1"/>
      <c r="GE163" s="1"/>
      <c r="GF163" s="1"/>
      <c r="GG163" s="1"/>
      <c r="GH163" s="1"/>
      <c r="GI163" s="1"/>
      <c r="GJ163" s="1"/>
      <c r="GK163" s="1"/>
      <c r="GL163" s="1"/>
      <c r="GM163" s="1"/>
      <c r="GN163" s="1"/>
      <c r="GO163" s="1"/>
      <c r="GP163" s="1"/>
      <c r="GQ163" s="1"/>
      <c r="GR163" s="1"/>
      <c r="GS163" s="1"/>
      <c r="GT163" s="1"/>
      <c r="GU163" s="1"/>
      <c r="GV163" s="1"/>
      <c r="GW163" s="1"/>
      <c r="GX163" s="1"/>
      <c r="GY163" s="1"/>
      <c r="GZ163" s="1"/>
      <c r="HA163" s="1"/>
      <c r="HB163" s="1"/>
      <c r="HC163" s="1"/>
      <c r="HD163" s="1"/>
      <c r="HE163" s="1"/>
      <c r="HF163" s="1"/>
      <c r="HG163" s="1"/>
      <c r="HH163" s="1"/>
      <c r="HI163" s="1"/>
      <c r="HJ163" s="1"/>
      <c r="HK163" s="1"/>
      <c r="HL163" s="1"/>
      <c r="HM163" s="1"/>
      <c r="HN163" s="1"/>
      <c r="HO163" s="1"/>
      <c r="HP163" s="1"/>
      <c r="HQ163" s="1"/>
      <c r="HR163" s="1"/>
      <c r="HS163" s="1"/>
      <c r="HT163" s="1"/>
      <c r="HU163" s="1"/>
      <c r="HV163" s="1"/>
      <c r="HW163" s="1"/>
      <c r="HX163" s="1"/>
      <c r="HY163" s="1"/>
      <c r="HZ163" s="1"/>
      <c r="IA163" s="1"/>
      <c r="IB163" s="1"/>
      <c r="IC163" s="1"/>
      <c r="ID163" s="1"/>
      <c r="IE163" s="1"/>
      <c r="IF163" s="1"/>
      <c r="IG163" s="1"/>
      <c r="IH163" s="1"/>
      <c r="II163" s="1"/>
      <c r="IJ163" s="1"/>
      <c r="IK163" s="1"/>
      <c r="IL163" s="1"/>
      <c r="IM163" s="1"/>
      <c r="IN163" s="1"/>
      <c r="IO163" s="1"/>
      <c r="IP163" s="1"/>
      <c r="IQ163" s="1"/>
      <c r="IR163" s="1"/>
      <c r="IS163" s="1"/>
      <c r="IT163" s="1"/>
      <c r="IU163" s="1"/>
      <c r="IV163" s="1"/>
    </row>
    <row r="164" spans="1:256" ht="33" customHeight="1" x14ac:dyDescent="0.3">
      <c r="A164" s="1403">
        <v>155</v>
      </c>
      <c r="B164" s="1"/>
      <c r="C164" s="1417"/>
      <c r="D164" s="1684" t="s">
        <v>1022</v>
      </c>
      <c r="E164" s="958">
        <v>943</v>
      </c>
      <c r="F164" s="1"/>
      <c r="G164" s="1"/>
      <c r="H164" s="1"/>
      <c r="I164" s="1"/>
      <c r="J164" s="1"/>
      <c r="K164" s="1"/>
      <c r="L164" s="1"/>
      <c r="M164" s="1"/>
      <c r="N164" s="1"/>
      <c r="O164" s="1"/>
      <c r="P164" s="1"/>
      <c r="Q164" s="1"/>
      <c r="R164" s="1"/>
      <c r="S164" s="1"/>
      <c r="T164" s="1"/>
      <c r="U164" s="1"/>
      <c r="V164" s="1"/>
      <c r="W164" s="1"/>
      <c r="X164" s="1"/>
      <c r="Y164" s="1"/>
      <c r="Z164" s="1"/>
      <c r="AA164" s="1"/>
      <c r="AB164" s="1"/>
      <c r="AC164" s="1"/>
      <c r="AD164" s="1"/>
      <c r="AE164" s="1"/>
      <c r="AF164" s="1"/>
      <c r="AG164" s="1"/>
      <c r="AH164" s="1"/>
      <c r="AI164" s="1"/>
      <c r="AJ164" s="1"/>
      <c r="AK164" s="1"/>
      <c r="AL164" s="1"/>
      <c r="AM164" s="1"/>
      <c r="AN164" s="1"/>
      <c r="AO164" s="1"/>
      <c r="AP164" s="1"/>
      <c r="AQ164" s="1"/>
      <c r="AR164" s="1"/>
      <c r="AS164" s="1"/>
      <c r="AT164" s="1"/>
      <c r="AU164" s="1"/>
      <c r="AV164" s="1"/>
      <c r="AW164" s="1"/>
      <c r="AX164" s="1"/>
      <c r="AY164" s="1"/>
      <c r="AZ164" s="1"/>
      <c r="BA164" s="1"/>
      <c r="BB164" s="1"/>
      <c r="BC164" s="1"/>
      <c r="BD164" s="1"/>
      <c r="BE164" s="1"/>
      <c r="BF164" s="1"/>
      <c r="BG164" s="1"/>
      <c r="BH164" s="1"/>
      <c r="BI164" s="1"/>
      <c r="BJ164" s="1"/>
      <c r="BK164" s="1"/>
      <c r="BL164" s="1"/>
      <c r="BM164" s="1"/>
      <c r="BN164" s="1"/>
      <c r="BO164" s="1"/>
      <c r="BP164" s="1"/>
      <c r="BQ164" s="1"/>
      <c r="BR164" s="1"/>
      <c r="BS164" s="1"/>
      <c r="BT164" s="1"/>
      <c r="BU164" s="1"/>
      <c r="BV164" s="1"/>
      <c r="BW164" s="1"/>
      <c r="BX164" s="1"/>
      <c r="BY164" s="1"/>
      <c r="BZ164" s="1"/>
      <c r="CA164" s="1"/>
      <c r="CB164" s="1"/>
      <c r="CC164" s="1"/>
      <c r="CD164" s="1"/>
      <c r="CE164" s="1"/>
      <c r="CF164" s="1"/>
      <c r="CG164" s="1"/>
      <c r="CH164" s="1"/>
      <c r="CI164" s="1"/>
      <c r="CJ164" s="1"/>
      <c r="CK164" s="1"/>
      <c r="CL164" s="1"/>
      <c r="CM164" s="1"/>
      <c r="CN164" s="1"/>
      <c r="CO164" s="1"/>
      <c r="CP164" s="1"/>
      <c r="CQ164" s="1"/>
      <c r="CR164" s="1"/>
      <c r="CS164" s="1"/>
      <c r="CT164" s="1"/>
      <c r="CU164" s="1"/>
      <c r="CV164" s="1"/>
      <c r="CW164" s="1"/>
      <c r="CX164" s="1"/>
      <c r="CY164" s="1"/>
      <c r="CZ164" s="1"/>
      <c r="DA164" s="1"/>
      <c r="DB164" s="1"/>
      <c r="DC164" s="1"/>
      <c r="DD164" s="1"/>
      <c r="DE164" s="1"/>
      <c r="DF164" s="1"/>
      <c r="DG164" s="1"/>
      <c r="DH164" s="1"/>
      <c r="DI164" s="1"/>
      <c r="DJ164" s="1"/>
      <c r="DK164" s="1"/>
      <c r="DL164" s="1"/>
      <c r="DM164" s="1"/>
      <c r="DN164" s="1"/>
      <c r="DO164" s="1"/>
      <c r="DP164" s="1"/>
      <c r="DQ164" s="1"/>
      <c r="DR164" s="1"/>
      <c r="DS164" s="1"/>
      <c r="DT164" s="1"/>
      <c r="DU164" s="1"/>
      <c r="DV164" s="1"/>
      <c r="DW164" s="1"/>
      <c r="DX164" s="1"/>
      <c r="DY164" s="1"/>
      <c r="DZ164" s="1"/>
      <c r="EA164" s="1"/>
      <c r="EB164" s="1"/>
      <c r="EC164" s="1"/>
      <c r="ED164" s="1"/>
      <c r="EE164" s="1"/>
      <c r="EF164" s="1"/>
      <c r="EG164" s="1"/>
      <c r="EH164" s="1"/>
      <c r="EI164" s="1"/>
      <c r="EJ164" s="1"/>
      <c r="EK164" s="1"/>
      <c r="EL164" s="1"/>
      <c r="EM164" s="1"/>
      <c r="EN164" s="1"/>
      <c r="EO164" s="1"/>
      <c r="EP164" s="1"/>
      <c r="EQ164" s="1"/>
      <c r="ER164" s="1"/>
      <c r="ES164" s="1"/>
      <c r="ET164" s="1"/>
      <c r="EU164" s="1"/>
      <c r="EV164" s="1"/>
      <c r="EW164" s="1"/>
      <c r="EX164" s="1"/>
      <c r="EY164" s="1"/>
      <c r="EZ164" s="1"/>
      <c r="FA164" s="1"/>
      <c r="FB164" s="1"/>
      <c r="FC164" s="1"/>
      <c r="FD164" s="1"/>
      <c r="FE164" s="1"/>
      <c r="FF164" s="1"/>
      <c r="FG164" s="1"/>
      <c r="FH164" s="1"/>
      <c r="FI164" s="1"/>
      <c r="FJ164" s="1"/>
      <c r="FK164" s="1"/>
      <c r="FL164" s="1"/>
      <c r="FM164" s="1"/>
      <c r="FN164" s="1"/>
      <c r="FO164" s="1"/>
      <c r="FP164" s="1"/>
      <c r="FQ164" s="1"/>
      <c r="FR164" s="1"/>
      <c r="FS164" s="1"/>
      <c r="FT164" s="1"/>
      <c r="FU164" s="1"/>
      <c r="FV164" s="1"/>
      <c r="FW164" s="1"/>
      <c r="FX164" s="1"/>
      <c r="FY164" s="1"/>
      <c r="FZ164" s="1"/>
      <c r="GA164" s="1"/>
      <c r="GB164" s="1"/>
      <c r="GC164" s="1"/>
      <c r="GD164" s="1"/>
      <c r="GE164" s="1"/>
      <c r="GF164" s="1"/>
      <c r="GG164" s="1"/>
      <c r="GH164" s="1"/>
      <c r="GI164" s="1"/>
      <c r="GJ164" s="1"/>
      <c r="GK164" s="1"/>
      <c r="GL164" s="1"/>
      <c r="GM164" s="1"/>
      <c r="GN164" s="1"/>
      <c r="GO164" s="1"/>
      <c r="GP164" s="1"/>
      <c r="GQ164" s="1"/>
      <c r="GR164" s="1"/>
      <c r="GS164" s="1"/>
      <c r="GT164" s="1"/>
      <c r="GU164" s="1"/>
      <c r="GV164" s="1"/>
      <c r="GW164" s="1"/>
      <c r="GX164" s="1"/>
      <c r="GY164" s="1"/>
      <c r="GZ164" s="1"/>
      <c r="HA164" s="1"/>
      <c r="HB164" s="1"/>
      <c r="HC164" s="1"/>
      <c r="HD164" s="1"/>
      <c r="HE164" s="1"/>
      <c r="HF164" s="1"/>
      <c r="HG164" s="1"/>
      <c r="HH164" s="1"/>
      <c r="HI164" s="1"/>
      <c r="HJ164" s="1"/>
      <c r="HK164" s="1"/>
      <c r="HL164" s="1"/>
      <c r="HM164" s="1"/>
      <c r="HN164" s="1"/>
      <c r="HO164" s="1"/>
      <c r="HP164" s="1"/>
      <c r="HQ164" s="1"/>
      <c r="HR164" s="1"/>
      <c r="HS164" s="1"/>
      <c r="HT164" s="1"/>
      <c r="HU164" s="1"/>
      <c r="HV164" s="1"/>
      <c r="HW164" s="1"/>
      <c r="HX164" s="1"/>
      <c r="HY164" s="1"/>
      <c r="HZ164" s="1"/>
      <c r="IA164" s="1"/>
      <c r="IB164" s="1"/>
      <c r="IC164" s="1"/>
      <c r="ID164" s="1"/>
      <c r="IE164" s="1"/>
      <c r="IF164" s="1"/>
      <c r="IG164" s="1"/>
      <c r="IH164" s="1"/>
      <c r="II164" s="1"/>
      <c r="IJ164" s="1"/>
      <c r="IK164" s="1"/>
      <c r="IL164" s="1"/>
      <c r="IM164" s="1"/>
      <c r="IN164" s="1"/>
      <c r="IO164" s="1"/>
      <c r="IP164" s="1"/>
      <c r="IQ164" s="1"/>
      <c r="IR164" s="1"/>
      <c r="IS164" s="1"/>
      <c r="IT164" s="1"/>
      <c r="IU164" s="1"/>
      <c r="IV164" s="1"/>
    </row>
    <row r="165" spans="1:256" ht="35.25" customHeight="1" x14ac:dyDescent="0.3">
      <c r="A165" s="1403">
        <v>156</v>
      </c>
      <c r="B165" s="1"/>
      <c r="C165" s="1417"/>
      <c r="D165" s="1684" t="s">
        <v>1023</v>
      </c>
      <c r="E165" s="958">
        <v>5334</v>
      </c>
      <c r="F165" s="1"/>
      <c r="G165" s="1"/>
      <c r="H165" s="1"/>
      <c r="I165" s="1"/>
      <c r="J165" s="1"/>
      <c r="K165" s="1"/>
      <c r="L165" s="1"/>
      <c r="M165" s="1"/>
      <c r="N165" s="1"/>
      <c r="O165" s="1"/>
      <c r="P165" s="1"/>
      <c r="Q165" s="1"/>
      <c r="R165" s="1"/>
      <c r="S165" s="1"/>
      <c r="T165" s="1"/>
      <c r="U165" s="1"/>
      <c r="V165" s="1"/>
      <c r="W165" s="1"/>
      <c r="X165" s="1"/>
      <c r="Y165" s="1"/>
      <c r="Z165" s="1"/>
      <c r="AA165" s="1"/>
      <c r="AB165" s="1"/>
      <c r="AC165" s="1"/>
      <c r="AD165" s="1"/>
      <c r="AE165" s="1"/>
      <c r="AF165" s="1"/>
      <c r="AG165" s="1"/>
      <c r="AH165" s="1"/>
      <c r="AI165" s="1"/>
      <c r="AJ165" s="1"/>
      <c r="AK165" s="1"/>
      <c r="AL165" s="1"/>
      <c r="AM165" s="1"/>
      <c r="AN165" s="1"/>
      <c r="AO165" s="1"/>
      <c r="AP165" s="1"/>
      <c r="AQ165" s="1"/>
      <c r="AR165" s="1"/>
      <c r="AS165" s="1"/>
      <c r="AT165" s="1"/>
      <c r="AU165" s="1"/>
      <c r="AV165" s="1"/>
      <c r="AW165" s="1"/>
      <c r="AX165" s="1"/>
      <c r="AY165" s="1"/>
      <c r="AZ165" s="1"/>
      <c r="BA165" s="1"/>
      <c r="BB165" s="1"/>
      <c r="BC165" s="1"/>
      <c r="BD165" s="1"/>
      <c r="BE165" s="1"/>
      <c r="BF165" s="1"/>
      <c r="BG165" s="1"/>
      <c r="BH165" s="1"/>
      <c r="BI165" s="1"/>
      <c r="BJ165" s="1"/>
      <c r="BK165" s="1"/>
      <c r="BL165" s="1"/>
      <c r="BM165" s="1"/>
      <c r="BN165" s="1"/>
      <c r="BO165" s="1"/>
      <c r="BP165" s="1"/>
      <c r="BQ165" s="1"/>
      <c r="BR165" s="1"/>
      <c r="BS165" s="1"/>
      <c r="BT165" s="1"/>
      <c r="BU165" s="1"/>
      <c r="BV165" s="1"/>
      <c r="BW165" s="1"/>
      <c r="BX165" s="1"/>
      <c r="BY165" s="1"/>
      <c r="BZ165" s="1"/>
      <c r="CA165" s="1"/>
      <c r="CB165" s="1"/>
      <c r="CC165" s="1"/>
      <c r="CD165" s="1"/>
      <c r="CE165" s="1"/>
      <c r="CF165" s="1"/>
      <c r="CG165" s="1"/>
      <c r="CH165" s="1"/>
      <c r="CI165" s="1"/>
      <c r="CJ165" s="1"/>
      <c r="CK165" s="1"/>
      <c r="CL165" s="1"/>
      <c r="CM165" s="1"/>
      <c r="CN165" s="1"/>
      <c r="CO165" s="1"/>
      <c r="CP165" s="1"/>
      <c r="CQ165" s="1"/>
      <c r="CR165" s="1"/>
      <c r="CS165" s="1"/>
      <c r="CT165" s="1"/>
      <c r="CU165" s="1"/>
      <c r="CV165" s="1"/>
      <c r="CW165" s="1"/>
      <c r="CX165" s="1"/>
      <c r="CY165" s="1"/>
      <c r="CZ165" s="1"/>
      <c r="DA165" s="1"/>
      <c r="DB165" s="1"/>
      <c r="DC165" s="1"/>
      <c r="DD165" s="1"/>
      <c r="DE165" s="1"/>
      <c r="DF165" s="1"/>
      <c r="DG165" s="1"/>
      <c r="DH165" s="1"/>
      <c r="DI165" s="1"/>
      <c r="DJ165" s="1"/>
      <c r="DK165" s="1"/>
      <c r="DL165" s="1"/>
      <c r="DM165" s="1"/>
      <c r="DN165" s="1"/>
      <c r="DO165" s="1"/>
      <c r="DP165" s="1"/>
      <c r="DQ165" s="1"/>
      <c r="DR165" s="1"/>
      <c r="DS165" s="1"/>
      <c r="DT165" s="1"/>
      <c r="DU165" s="1"/>
      <c r="DV165" s="1"/>
      <c r="DW165" s="1"/>
      <c r="DX165" s="1"/>
      <c r="DY165" s="1"/>
      <c r="DZ165" s="1"/>
      <c r="EA165" s="1"/>
      <c r="EB165" s="1"/>
      <c r="EC165" s="1"/>
      <c r="ED165" s="1"/>
      <c r="EE165" s="1"/>
      <c r="EF165" s="1"/>
      <c r="EG165" s="1"/>
      <c r="EH165" s="1"/>
      <c r="EI165" s="1"/>
      <c r="EJ165" s="1"/>
      <c r="EK165" s="1"/>
      <c r="EL165" s="1"/>
      <c r="EM165" s="1"/>
      <c r="EN165" s="1"/>
      <c r="EO165" s="1"/>
      <c r="EP165" s="1"/>
      <c r="EQ165" s="1"/>
      <c r="ER165" s="1"/>
      <c r="ES165" s="1"/>
      <c r="ET165" s="1"/>
      <c r="EU165" s="1"/>
      <c r="EV165" s="1"/>
      <c r="EW165" s="1"/>
      <c r="EX165" s="1"/>
      <c r="EY165" s="1"/>
      <c r="EZ165" s="1"/>
      <c r="FA165" s="1"/>
      <c r="FB165" s="1"/>
      <c r="FC165" s="1"/>
      <c r="FD165" s="1"/>
      <c r="FE165" s="1"/>
      <c r="FF165" s="1"/>
      <c r="FG165" s="1"/>
      <c r="FH165" s="1"/>
      <c r="FI165" s="1"/>
      <c r="FJ165" s="1"/>
      <c r="FK165" s="1"/>
      <c r="FL165" s="1"/>
      <c r="FM165" s="1"/>
      <c r="FN165" s="1"/>
      <c r="FO165" s="1"/>
      <c r="FP165" s="1"/>
      <c r="FQ165" s="1"/>
      <c r="FR165" s="1"/>
      <c r="FS165" s="1"/>
      <c r="FT165" s="1"/>
      <c r="FU165" s="1"/>
      <c r="FV165" s="1"/>
      <c r="FW165" s="1"/>
      <c r="FX165" s="1"/>
      <c r="FY165" s="1"/>
      <c r="FZ165" s="1"/>
      <c r="GA165" s="1"/>
      <c r="GB165" s="1"/>
      <c r="GC165" s="1"/>
      <c r="GD165" s="1"/>
      <c r="GE165" s="1"/>
      <c r="GF165" s="1"/>
      <c r="GG165" s="1"/>
      <c r="GH165" s="1"/>
      <c r="GI165" s="1"/>
      <c r="GJ165" s="1"/>
      <c r="GK165" s="1"/>
      <c r="GL165" s="1"/>
      <c r="GM165" s="1"/>
      <c r="GN165" s="1"/>
      <c r="GO165" s="1"/>
      <c r="GP165" s="1"/>
      <c r="GQ165" s="1"/>
      <c r="GR165" s="1"/>
      <c r="GS165" s="1"/>
      <c r="GT165" s="1"/>
      <c r="GU165" s="1"/>
      <c r="GV165" s="1"/>
      <c r="GW165" s="1"/>
      <c r="GX165" s="1"/>
      <c r="GY165" s="1"/>
      <c r="GZ165" s="1"/>
      <c r="HA165" s="1"/>
      <c r="HB165" s="1"/>
      <c r="HC165" s="1"/>
      <c r="HD165" s="1"/>
      <c r="HE165" s="1"/>
      <c r="HF165" s="1"/>
      <c r="HG165" s="1"/>
      <c r="HH165" s="1"/>
      <c r="HI165" s="1"/>
      <c r="HJ165" s="1"/>
      <c r="HK165" s="1"/>
      <c r="HL165" s="1"/>
      <c r="HM165" s="1"/>
      <c r="HN165" s="1"/>
      <c r="HO165" s="1"/>
      <c r="HP165" s="1"/>
      <c r="HQ165" s="1"/>
      <c r="HR165" s="1"/>
      <c r="HS165" s="1"/>
      <c r="HT165" s="1"/>
      <c r="HU165" s="1"/>
      <c r="HV165" s="1"/>
      <c r="HW165" s="1"/>
      <c r="HX165" s="1"/>
      <c r="HY165" s="1"/>
      <c r="HZ165" s="1"/>
      <c r="IA165" s="1"/>
      <c r="IB165" s="1"/>
      <c r="IC165" s="1"/>
      <c r="ID165" s="1"/>
      <c r="IE165" s="1"/>
      <c r="IF165" s="1"/>
      <c r="IG165" s="1"/>
      <c r="IH165" s="1"/>
      <c r="II165" s="1"/>
      <c r="IJ165" s="1"/>
      <c r="IK165" s="1"/>
      <c r="IL165" s="1"/>
      <c r="IM165" s="1"/>
      <c r="IN165" s="1"/>
      <c r="IO165" s="1"/>
      <c r="IP165" s="1"/>
      <c r="IQ165" s="1"/>
      <c r="IR165" s="1"/>
      <c r="IS165" s="1"/>
      <c r="IT165" s="1"/>
      <c r="IU165" s="1"/>
      <c r="IV165" s="1"/>
    </row>
    <row r="166" spans="1:256" ht="34.5" customHeight="1" x14ac:dyDescent="0.3">
      <c r="A166" s="1403">
        <v>157</v>
      </c>
      <c r="B166" s="1"/>
      <c r="C166" s="1417"/>
      <c r="D166" s="1684" t="s">
        <v>1024</v>
      </c>
      <c r="E166" s="958">
        <v>10350</v>
      </c>
      <c r="F166" s="1"/>
      <c r="G166" s="1"/>
      <c r="H166" s="1"/>
      <c r="I166" s="1"/>
      <c r="J166" s="1"/>
      <c r="K166" s="1"/>
      <c r="L166" s="1"/>
      <c r="M166" s="1"/>
      <c r="N166" s="1"/>
      <c r="O166" s="1"/>
      <c r="P166" s="1"/>
      <c r="Q166" s="1"/>
      <c r="R166" s="1"/>
      <c r="S166" s="1"/>
      <c r="T166" s="1"/>
      <c r="U166" s="1"/>
      <c r="V166" s="1"/>
      <c r="W166" s="1"/>
      <c r="X166" s="1"/>
      <c r="Y166" s="1"/>
      <c r="Z166" s="1"/>
      <c r="AA166" s="1"/>
      <c r="AB166" s="1"/>
      <c r="AC166" s="1"/>
      <c r="AD166" s="1"/>
      <c r="AE166" s="1"/>
      <c r="AF166" s="1"/>
      <c r="AG166" s="1"/>
      <c r="AH166" s="1"/>
      <c r="AI166" s="1"/>
      <c r="AJ166" s="1"/>
      <c r="AK166" s="1"/>
      <c r="AL166" s="1"/>
      <c r="AM166" s="1"/>
      <c r="AN166" s="1"/>
      <c r="AO166" s="1"/>
      <c r="AP166" s="1"/>
      <c r="AQ166" s="1"/>
      <c r="AR166" s="1"/>
      <c r="AS166" s="1"/>
      <c r="AT166" s="1"/>
      <c r="AU166" s="1"/>
      <c r="AV166" s="1"/>
      <c r="AW166" s="1"/>
      <c r="AX166" s="1"/>
      <c r="AY166" s="1"/>
      <c r="AZ166" s="1"/>
      <c r="BA166" s="1"/>
      <c r="BB166" s="1"/>
      <c r="BC166" s="1"/>
      <c r="BD166" s="1"/>
      <c r="BE166" s="1"/>
      <c r="BF166" s="1"/>
      <c r="BG166" s="1"/>
      <c r="BH166" s="1"/>
      <c r="BI166" s="1"/>
      <c r="BJ166" s="1"/>
      <c r="BK166" s="1"/>
      <c r="BL166" s="1"/>
      <c r="BM166" s="1"/>
      <c r="BN166" s="1"/>
      <c r="BO166" s="1"/>
      <c r="BP166" s="1"/>
      <c r="BQ166" s="1"/>
      <c r="BR166" s="1"/>
      <c r="BS166" s="1"/>
      <c r="BT166" s="1"/>
      <c r="BU166" s="1"/>
      <c r="BV166" s="1"/>
      <c r="BW166" s="1"/>
      <c r="BX166" s="1"/>
      <c r="BY166" s="1"/>
      <c r="BZ166" s="1"/>
      <c r="CA166" s="1"/>
      <c r="CB166" s="1"/>
      <c r="CC166" s="1"/>
      <c r="CD166" s="1"/>
      <c r="CE166" s="1"/>
      <c r="CF166" s="1"/>
      <c r="CG166" s="1"/>
      <c r="CH166" s="1"/>
      <c r="CI166" s="1"/>
      <c r="CJ166" s="1"/>
      <c r="CK166" s="1"/>
      <c r="CL166" s="1"/>
      <c r="CM166" s="1"/>
      <c r="CN166" s="1"/>
      <c r="CO166" s="1"/>
      <c r="CP166" s="1"/>
      <c r="CQ166" s="1"/>
      <c r="CR166" s="1"/>
      <c r="CS166" s="1"/>
      <c r="CT166" s="1"/>
      <c r="CU166" s="1"/>
      <c r="CV166" s="1"/>
      <c r="CW166" s="1"/>
      <c r="CX166" s="1"/>
      <c r="CY166" s="1"/>
      <c r="CZ166" s="1"/>
      <c r="DA166" s="1"/>
      <c r="DB166" s="1"/>
      <c r="DC166" s="1"/>
      <c r="DD166" s="1"/>
      <c r="DE166" s="1"/>
      <c r="DF166" s="1"/>
      <c r="DG166" s="1"/>
      <c r="DH166" s="1"/>
      <c r="DI166" s="1"/>
      <c r="DJ166" s="1"/>
      <c r="DK166" s="1"/>
      <c r="DL166" s="1"/>
      <c r="DM166" s="1"/>
      <c r="DN166" s="1"/>
      <c r="DO166" s="1"/>
      <c r="DP166" s="1"/>
      <c r="DQ166" s="1"/>
      <c r="DR166" s="1"/>
      <c r="DS166" s="1"/>
      <c r="DT166" s="1"/>
      <c r="DU166" s="1"/>
      <c r="DV166" s="1"/>
      <c r="DW166" s="1"/>
      <c r="DX166" s="1"/>
      <c r="DY166" s="1"/>
      <c r="DZ166" s="1"/>
      <c r="EA166" s="1"/>
      <c r="EB166" s="1"/>
      <c r="EC166" s="1"/>
      <c r="ED166" s="1"/>
      <c r="EE166" s="1"/>
      <c r="EF166" s="1"/>
      <c r="EG166" s="1"/>
      <c r="EH166" s="1"/>
      <c r="EI166" s="1"/>
      <c r="EJ166" s="1"/>
      <c r="EK166" s="1"/>
      <c r="EL166" s="1"/>
      <c r="EM166" s="1"/>
      <c r="EN166" s="1"/>
      <c r="EO166" s="1"/>
      <c r="EP166" s="1"/>
      <c r="EQ166" s="1"/>
      <c r="ER166" s="1"/>
      <c r="ES166" s="1"/>
      <c r="ET166" s="1"/>
      <c r="EU166" s="1"/>
      <c r="EV166" s="1"/>
      <c r="EW166" s="1"/>
      <c r="EX166" s="1"/>
      <c r="EY166" s="1"/>
      <c r="EZ166" s="1"/>
      <c r="FA166" s="1"/>
      <c r="FB166" s="1"/>
      <c r="FC166" s="1"/>
      <c r="FD166" s="1"/>
      <c r="FE166" s="1"/>
      <c r="FF166" s="1"/>
      <c r="FG166" s="1"/>
      <c r="FH166" s="1"/>
      <c r="FI166" s="1"/>
      <c r="FJ166" s="1"/>
      <c r="FK166" s="1"/>
      <c r="FL166" s="1"/>
      <c r="FM166" s="1"/>
      <c r="FN166" s="1"/>
      <c r="FO166" s="1"/>
      <c r="FP166" s="1"/>
      <c r="FQ166" s="1"/>
      <c r="FR166" s="1"/>
      <c r="FS166" s="1"/>
      <c r="FT166" s="1"/>
      <c r="FU166" s="1"/>
      <c r="FV166" s="1"/>
      <c r="FW166" s="1"/>
      <c r="FX166" s="1"/>
      <c r="FY166" s="1"/>
      <c r="FZ166" s="1"/>
      <c r="GA166" s="1"/>
      <c r="GB166" s="1"/>
      <c r="GC166" s="1"/>
      <c r="GD166" s="1"/>
      <c r="GE166" s="1"/>
      <c r="GF166" s="1"/>
      <c r="GG166" s="1"/>
      <c r="GH166" s="1"/>
      <c r="GI166" s="1"/>
      <c r="GJ166" s="1"/>
      <c r="GK166" s="1"/>
      <c r="GL166" s="1"/>
      <c r="GM166" s="1"/>
      <c r="GN166" s="1"/>
      <c r="GO166" s="1"/>
      <c r="GP166" s="1"/>
      <c r="GQ166" s="1"/>
      <c r="GR166" s="1"/>
      <c r="GS166" s="1"/>
      <c r="GT166" s="1"/>
      <c r="GU166" s="1"/>
      <c r="GV166" s="1"/>
      <c r="GW166" s="1"/>
      <c r="GX166" s="1"/>
      <c r="GY166" s="1"/>
      <c r="GZ166" s="1"/>
      <c r="HA166" s="1"/>
      <c r="HB166" s="1"/>
      <c r="HC166" s="1"/>
      <c r="HD166" s="1"/>
      <c r="HE166" s="1"/>
      <c r="HF166" s="1"/>
      <c r="HG166" s="1"/>
      <c r="HH166" s="1"/>
      <c r="HI166" s="1"/>
      <c r="HJ166" s="1"/>
      <c r="HK166" s="1"/>
      <c r="HL166" s="1"/>
      <c r="HM166" s="1"/>
      <c r="HN166" s="1"/>
      <c r="HO166" s="1"/>
      <c r="HP166" s="1"/>
      <c r="HQ166" s="1"/>
      <c r="HR166" s="1"/>
      <c r="HS166" s="1"/>
      <c r="HT166" s="1"/>
      <c r="HU166" s="1"/>
      <c r="HV166" s="1"/>
      <c r="HW166" s="1"/>
      <c r="HX166" s="1"/>
      <c r="HY166" s="1"/>
      <c r="HZ166" s="1"/>
      <c r="IA166" s="1"/>
      <c r="IB166" s="1"/>
      <c r="IC166" s="1"/>
      <c r="ID166" s="1"/>
      <c r="IE166" s="1"/>
      <c r="IF166" s="1"/>
      <c r="IG166" s="1"/>
      <c r="IH166" s="1"/>
      <c r="II166" s="1"/>
      <c r="IJ166" s="1"/>
      <c r="IK166" s="1"/>
      <c r="IL166" s="1"/>
      <c r="IM166" s="1"/>
      <c r="IN166" s="1"/>
      <c r="IO166" s="1"/>
      <c r="IP166" s="1"/>
      <c r="IQ166" s="1"/>
      <c r="IR166" s="1"/>
      <c r="IS166" s="1"/>
      <c r="IT166" s="1"/>
      <c r="IU166" s="1"/>
      <c r="IV166" s="1"/>
    </row>
    <row r="167" spans="1:256" ht="30.75" customHeight="1" x14ac:dyDescent="0.3">
      <c r="A167" s="1403">
        <v>158</v>
      </c>
      <c r="B167" s="1"/>
      <c r="C167" s="1417"/>
      <c r="D167" s="1684" t="s">
        <v>1025</v>
      </c>
      <c r="E167" s="958">
        <v>8060</v>
      </c>
      <c r="F167" s="1"/>
      <c r="G167" s="1"/>
      <c r="H167" s="1"/>
      <c r="I167" s="1"/>
      <c r="J167" s="1"/>
      <c r="K167" s="1"/>
      <c r="L167" s="1"/>
      <c r="M167" s="1"/>
      <c r="N167" s="1"/>
      <c r="O167" s="1"/>
      <c r="P167" s="1"/>
      <c r="Q167" s="1"/>
      <c r="R167" s="1"/>
      <c r="S167" s="1"/>
      <c r="T167" s="1"/>
      <c r="U167" s="1"/>
      <c r="V167" s="1"/>
      <c r="W167" s="1"/>
      <c r="X167" s="1"/>
      <c r="Y167" s="1"/>
      <c r="Z167" s="1"/>
      <c r="AA167" s="1"/>
      <c r="AB167" s="1"/>
      <c r="AC167" s="1"/>
      <c r="AD167" s="1"/>
      <c r="AE167" s="1"/>
      <c r="AF167" s="1"/>
      <c r="AG167" s="1"/>
      <c r="AH167" s="1"/>
      <c r="AI167" s="1"/>
      <c r="AJ167" s="1"/>
      <c r="AK167" s="1"/>
      <c r="AL167" s="1"/>
      <c r="AM167" s="1"/>
      <c r="AN167" s="1"/>
      <c r="AO167" s="1"/>
      <c r="AP167" s="1"/>
      <c r="AQ167" s="1"/>
      <c r="AR167" s="1"/>
      <c r="AS167" s="1"/>
      <c r="AT167" s="1"/>
      <c r="AU167" s="1"/>
      <c r="AV167" s="1"/>
      <c r="AW167" s="1"/>
      <c r="AX167" s="1"/>
      <c r="AY167" s="1"/>
      <c r="AZ167" s="1"/>
      <c r="BA167" s="1"/>
      <c r="BB167" s="1"/>
      <c r="BC167" s="1"/>
      <c r="BD167" s="1"/>
      <c r="BE167" s="1"/>
      <c r="BF167" s="1"/>
      <c r="BG167" s="1"/>
      <c r="BH167" s="1"/>
      <c r="BI167" s="1"/>
      <c r="BJ167" s="1"/>
      <c r="BK167" s="1"/>
      <c r="BL167" s="1"/>
      <c r="BM167" s="1"/>
      <c r="BN167" s="1"/>
      <c r="BO167" s="1"/>
      <c r="BP167" s="1"/>
      <c r="BQ167" s="1"/>
      <c r="BR167" s="1"/>
      <c r="BS167" s="1"/>
      <c r="BT167" s="1"/>
      <c r="BU167" s="1"/>
      <c r="BV167" s="1"/>
      <c r="BW167" s="1"/>
      <c r="BX167" s="1"/>
      <c r="BY167" s="1"/>
      <c r="BZ167" s="1"/>
      <c r="CA167" s="1"/>
      <c r="CB167" s="1"/>
      <c r="CC167" s="1"/>
      <c r="CD167" s="1"/>
      <c r="CE167" s="1"/>
      <c r="CF167" s="1"/>
      <c r="CG167" s="1"/>
      <c r="CH167" s="1"/>
      <c r="CI167" s="1"/>
      <c r="CJ167" s="1"/>
      <c r="CK167" s="1"/>
      <c r="CL167" s="1"/>
      <c r="CM167" s="1"/>
      <c r="CN167" s="1"/>
      <c r="CO167" s="1"/>
      <c r="CP167" s="1"/>
      <c r="CQ167" s="1"/>
      <c r="CR167" s="1"/>
      <c r="CS167" s="1"/>
      <c r="CT167" s="1"/>
      <c r="CU167" s="1"/>
      <c r="CV167" s="1"/>
      <c r="CW167" s="1"/>
      <c r="CX167" s="1"/>
      <c r="CY167" s="1"/>
      <c r="CZ167" s="1"/>
      <c r="DA167" s="1"/>
      <c r="DB167" s="1"/>
      <c r="DC167" s="1"/>
      <c r="DD167" s="1"/>
      <c r="DE167" s="1"/>
      <c r="DF167" s="1"/>
      <c r="DG167" s="1"/>
      <c r="DH167" s="1"/>
      <c r="DI167" s="1"/>
      <c r="DJ167" s="1"/>
      <c r="DK167" s="1"/>
      <c r="DL167" s="1"/>
      <c r="DM167" s="1"/>
      <c r="DN167" s="1"/>
      <c r="DO167" s="1"/>
      <c r="DP167" s="1"/>
      <c r="DQ167" s="1"/>
      <c r="DR167" s="1"/>
      <c r="DS167" s="1"/>
      <c r="DT167" s="1"/>
      <c r="DU167" s="1"/>
      <c r="DV167" s="1"/>
      <c r="DW167" s="1"/>
      <c r="DX167" s="1"/>
      <c r="DY167" s="1"/>
      <c r="DZ167" s="1"/>
      <c r="EA167" s="1"/>
      <c r="EB167" s="1"/>
      <c r="EC167" s="1"/>
      <c r="ED167" s="1"/>
      <c r="EE167" s="1"/>
      <c r="EF167" s="1"/>
      <c r="EG167" s="1"/>
      <c r="EH167" s="1"/>
      <c r="EI167" s="1"/>
      <c r="EJ167" s="1"/>
      <c r="EK167" s="1"/>
      <c r="EL167" s="1"/>
      <c r="EM167" s="1"/>
      <c r="EN167" s="1"/>
      <c r="EO167" s="1"/>
      <c r="EP167" s="1"/>
      <c r="EQ167" s="1"/>
      <c r="ER167" s="1"/>
      <c r="ES167" s="1"/>
      <c r="ET167" s="1"/>
      <c r="EU167" s="1"/>
      <c r="EV167" s="1"/>
      <c r="EW167" s="1"/>
      <c r="EX167" s="1"/>
      <c r="EY167" s="1"/>
      <c r="EZ167" s="1"/>
      <c r="FA167" s="1"/>
      <c r="FB167" s="1"/>
      <c r="FC167" s="1"/>
      <c r="FD167" s="1"/>
      <c r="FE167" s="1"/>
      <c r="FF167" s="1"/>
      <c r="FG167" s="1"/>
      <c r="FH167" s="1"/>
      <c r="FI167" s="1"/>
      <c r="FJ167" s="1"/>
      <c r="FK167" s="1"/>
      <c r="FL167" s="1"/>
      <c r="FM167" s="1"/>
      <c r="FN167" s="1"/>
      <c r="FO167" s="1"/>
      <c r="FP167" s="1"/>
      <c r="FQ167" s="1"/>
      <c r="FR167" s="1"/>
      <c r="FS167" s="1"/>
      <c r="FT167" s="1"/>
      <c r="FU167" s="1"/>
      <c r="FV167" s="1"/>
      <c r="FW167" s="1"/>
      <c r="FX167" s="1"/>
      <c r="FY167" s="1"/>
      <c r="FZ167" s="1"/>
      <c r="GA167" s="1"/>
      <c r="GB167" s="1"/>
      <c r="GC167" s="1"/>
      <c r="GD167" s="1"/>
      <c r="GE167" s="1"/>
      <c r="GF167" s="1"/>
      <c r="GG167" s="1"/>
      <c r="GH167" s="1"/>
      <c r="GI167" s="1"/>
      <c r="GJ167" s="1"/>
      <c r="GK167" s="1"/>
      <c r="GL167" s="1"/>
      <c r="GM167" s="1"/>
      <c r="GN167" s="1"/>
      <c r="GO167" s="1"/>
      <c r="GP167" s="1"/>
      <c r="GQ167" s="1"/>
      <c r="GR167" s="1"/>
      <c r="GS167" s="1"/>
      <c r="GT167" s="1"/>
      <c r="GU167" s="1"/>
      <c r="GV167" s="1"/>
      <c r="GW167" s="1"/>
      <c r="GX167" s="1"/>
      <c r="GY167" s="1"/>
      <c r="GZ167" s="1"/>
      <c r="HA167" s="1"/>
      <c r="HB167" s="1"/>
      <c r="HC167" s="1"/>
      <c r="HD167" s="1"/>
      <c r="HE167" s="1"/>
      <c r="HF167" s="1"/>
      <c r="HG167" s="1"/>
      <c r="HH167" s="1"/>
      <c r="HI167" s="1"/>
      <c r="HJ167" s="1"/>
      <c r="HK167" s="1"/>
      <c r="HL167" s="1"/>
      <c r="HM167" s="1"/>
      <c r="HN167" s="1"/>
      <c r="HO167" s="1"/>
      <c r="HP167" s="1"/>
      <c r="HQ167" s="1"/>
      <c r="HR167" s="1"/>
      <c r="HS167" s="1"/>
      <c r="HT167" s="1"/>
      <c r="HU167" s="1"/>
      <c r="HV167" s="1"/>
      <c r="HW167" s="1"/>
      <c r="HX167" s="1"/>
      <c r="HY167" s="1"/>
      <c r="HZ167" s="1"/>
      <c r="IA167" s="1"/>
      <c r="IB167" s="1"/>
      <c r="IC167" s="1"/>
      <c r="ID167" s="1"/>
      <c r="IE167" s="1"/>
      <c r="IF167" s="1"/>
      <c r="IG167" s="1"/>
      <c r="IH167" s="1"/>
      <c r="II167" s="1"/>
      <c r="IJ167" s="1"/>
      <c r="IK167" s="1"/>
      <c r="IL167" s="1"/>
      <c r="IM167" s="1"/>
      <c r="IN167" s="1"/>
      <c r="IO167" s="1"/>
      <c r="IP167" s="1"/>
      <c r="IQ167" s="1"/>
      <c r="IR167" s="1"/>
      <c r="IS167" s="1"/>
      <c r="IT167" s="1"/>
      <c r="IU167" s="1"/>
      <c r="IV167" s="1"/>
    </row>
    <row r="168" spans="1:256" ht="34.5" customHeight="1" x14ac:dyDescent="0.3">
      <c r="A168" s="1403">
        <v>159</v>
      </c>
      <c r="B168" s="1"/>
      <c r="C168" s="1417"/>
      <c r="D168" s="1684" t="s">
        <v>1026</v>
      </c>
      <c r="E168" s="958">
        <v>1905</v>
      </c>
      <c r="F168" s="1"/>
      <c r="G168" s="1"/>
      <c r="H168" s="1"/>
      <c r="I168" s="1"/>
      <c r="J168" s="1"/>
      <c r="K168" s="1"/>
      <c r="L168" s="1"/>
      <c r="M168" s="1"/>
      <c r="N168" s="1"/>
      <c r="O168" s="1"/>
      <c r="P168" s="1"/>
      <c r="Q168" s="1"/>
      <c r="R168" s="1"/>
      <c r="S168" s="1"/>
      <c r="T168" s="1"/>
      <c r="U168" s="1"/>
      <c r="V168" s="1"/>
      <c r="W168" s="1"/>
      <c r="X168" s="1"/>
      <c r="Y168" s="1"/>
      <c r="Z168" s="1"/>
      <c r="AA168" s="1"/>
      <c r="AB168" s="1"/>
      <c r="AC168" s="1"/>
      <c r="AD168" s="1"/>
      <c r="AE168" s="1"/>
      <c r="AF168" s="1"/>
      <c r="AG168" s="1"/>
      <c r="AH168" s="1"/>
      <c r="AI168" s="1"/>
      <c r="AJ168" s="1"/>
      <c r="AK168" s="1"/>
      <c r="AL168" s="1"/>
      <c r="AM168" s="1"/>
      <c r="AN168" s="1"/>
      <c r="AO168" s="1"/>
      <c r="AP168" s="1"/>
      <c r="AQ168" s="1"/>
      <c r="AR168" s="1"/>
      <c r="AS168" s="1"/>
      <c r="AT168" s="1"/>
      <c r="AU168" s="1"/>
      <c r="AV168" s="1"/>
      <c r="AW168" s="1"/>
      <c r="AX168" s="1"/>
      <c r="AY168" s="1"/>
      <c r="AZ168" s="1"/>
      <c r="BA168" s="1"/>
      <c r="BB168" s="1"/>
      <c r="BC168" s="1"/>
      <c r="BD168" s="1"/>
      <c r="BE168" s="1"/>
      <c r="BF168" s="1"/>
      <c r="BG168" s="1"/>
      <c r="BH168" s="1"/>
      <c r="BI168" s="1"/>
      <c r="BJ168" s="1"/>
      <c r="BK168" s="1"/>
      <c r="BL168" s="1"/>
      <c r="BM168" s="1"/>
      <c r="BN168" s="1"/>
      <c r="BO168" s="1"/>
      <c r="BP168" s="1"/>
      <c r="BQ168" s="1"/>
      <c r="BR168" s="1"/>
      <c r="BS168" s="1"/>
      <c r="BT168" s="1"/>
      <c r="BU168" s="1"/>
      <c r="BV168" s="1"/>
      <c r="BW168" s="1"/>
      <c r="BX168" s="1"/>
      <c r="BY168" s="1"/>
      <c r="BZ168" s="1"/>
      <c r="CA168" s="1"/>
      <c r="CB168" s="1"/>
      <c r="CC168" s="1"/>
      <c r="CD168" s="1"/>
      <c r="CE168" s="1"/>
      <c r="CF168" s="1"/>
      <c r="CG168" s="1"/>
      <c r="CH168" s="1"/>
      <c r="CI168" s="1"/>
      <c r="CJ168" s="1"/>
      <c r="CK168" s="1"/>
      <c r="CL168" s="1"/>
      <c r="CM168" s="1"/>
      <c r="CN168" s="1"/>
      <c r="CO168" s="1"/>
      <c r="CP168" s="1"/>
      <c r="CQ168" s="1"/>
      <c r="CR168" s="1"/>
      <c r="CS168" s="1"/>
      <c r="CT168" s="1"/>
      <c r="CU168" s="1"/>
      <c r="CV168" s="1"/>
      <c r="CW168" s="1"/>
      <c r="CX168" s="1"/>
      <c r="CY168" s="1"/>
      <c r="CZ168" s="1"/>
      <c r="DA168" s="1"/>
      <c r="DB168" s="1"/>
      <c r="DC168" s="1"/>
      <c r="DD168" s="1"/>
      <c r="DE168" s="1"/>
      <c r="DF168" s="1"/>
      <c r="DG168" s="1"/>
      <c r="DH168" s="1"/>
      <c r="DI168" s="1"/>
      <c r="DJ168" s="1"/>
      <c r="DK168" s="1"/>
      <c r="DL168" s="1"/>
      <c r="DM168" s="1"/>
      <c r="DN168" s="1"/>
      <c r="DO168" s="1"/>
      <c r="DP168" s="1"/>
      <c r="DQ168" s="1"/>
      <c r="DR168" s="1"/>
      <c r="DS168" s="1"/>
      <c r="DT168" s="1"/>
      <c r="DU168" s="1"/>
      <c r="DV168" s="1"/>
      <c r="DW168" s="1"/>
      <c r="DX168" s="1"/>
      <c r="DY168" s="1"/>
      <c r="DZ168" s="1"/>
      <c r="EA168" s="1"/>
      <c r="EB168" s="1"/>
      <c r="EC168" s="1"/>
      <c r="ED168" s="1"/>
      <c r="EE168" s="1"/>
      <c r="EF168" s="1"/>
      <c r="EG168" s="1"/>
      <c r="EH168" s="1"/>
      <c r="EI168" s="1"/>
      <c r="EJ168" s="1"/>
      <c r="EK168" s="1"/>
      <c r="EL168" s="1"/>
      <c r="EM168" s="1"/>
      <c r="EN168" s="1"/>
      <c r="EO168" s="1"/>
      <c r="EP168" s="1"/>
      <c r="EQ168" s="1"/>
      <c r="ER168" s="1"/>
      <c r="ES168" s="1"/>
      <c r="ET168" s="1"/>
      <c r="EU168" s="1"/>
      <c r="EV168" s="1"/>
      <c r="EW168" s="1"/>
      <c r="EX168" s="1"/>
      <c r="EY168" s="1"/>
      <c r="EZ168" s="1"/>
      <c r="FA168" s="1"/>
      <c r="FB168" s="1"/>
      <c r="FC168" s="1"/>
      <c r="FD168" s="1"/>
      <c r="FE168" s="1"/>
      <c r="FF168" s="1"/>
      <c r="FG168" s="1"/>
      <c r="FH168" s="1"/>
      <c r="FI168" s="1"/>
      <c r="FJ168" s="1"/>
      <c r="FK168" s="1"/>
      <c r="FL168" s="1"/>
      <c r="FM168" s="1"/>
      <c r="FN168" s="1"/>
      <c r="FO168" s="1"/>
      <c r="FP168" s="1"/>
      <c r="FQ168" s="1"/>
      <c r="FR168" s="1"/>
      <c r="FS168" s="1"/>
      <c r="FT168" s="1"/>
      <c r="FU168" s="1"/>
      <c r="FV168" s="1"/>
      <c r="FW168" s="1"/>
      <c r="FX168" s="1"/>
      <c r="FY168" s="1"/>
      <c r="FZ168" s="1"/>
      <c r="GA168" s="1"/>
      <c r="GB168" s="1"/>
      <c r="GC168" s="1"/>
      <c r="GD168" s="1"/>
      <c r="GE168" s="1"/>
      <c r="GF168" s="1"/>
      <c r="GG168" s="1"/>
      <c r="GH168" s="1"/>
      <c r="GI168" s="1"/>
      <c r="GJ168" s="1"/>
      <c r="GK168" s="1"/>
      <c r="GL168" s="1"/>
      <c r="GM168" s="1"/>
      <c r="GN168" s="1"/>
      <c r="GO168" s="1"/>
      <c r="GP168" s="1"/>
      <c r="GQ168" s="1"/>
      <c r="GR168" s="1"/>
      <c r="GS168" s="1"/>
      <c r="GT168" s="1"/>
      <c r="GU168" s="1"/>
      <c r="GV168" s="1"/>
      <c r="GW168" s="1"/>
      <c r="GX168" s="1"/>
      <c r="GY168" s="1"/>
      <c r="GZ168" s="1"/>
      <c r="HA168" s="1"/>
      <c r="HB168" s="1"/>
      <c r="HC168" s="1"/>
      <c r="HD168" s="1"/>
      <c r="HE168" s="1"/>
      <c r="HF168" s="1"/>
      <c r="HG168" s="1"/>
      <c r="HH168" s="1"/>
      <c r="HI168" s="1"/>
      <c r="HJ168" s="1"/>
      <c r="HK168" s="1"/>
      <c r="HL168" s="1"/>
      <c r="HM168" s="1"/>
      <c r="HN168" s="1"/>
      <c r="HO168" s="1"/>
      <c r="HP168" s="1"/>
      <c r="HQ168" s="1"/>
      <c r="HR168" s="1"/>
      <c r="HS168" s="1"/>
      <c r="HT168" s="1"/>
      <c r="HU168" s="1"/>
      <c r="HV168" s="1"/>
      <c r="HW168" s="1"/>
      <c r="HX168" s="1"/>
      <c r="HY168" s="1"/>
      <c r="HZ168" s="1"/>
      <c r="IA168" s="1"/>
      <c r="IB168" s="1"/>
      <c r="IC168" s="1"/>
      <c r="ID168" s="1"/>
      <c r="IE168" s="1"/>
      <c r="IF168" s="1"/>
      <c r="IG168" s="1"/>
      <c r="IH168" s="1"/>
      <c r="II168" s="1"/>
      <c r="IJ168" s="1"/>
      <c r="IK168" s="1"/>
      <c r="IL168" s="1"/>
      <c r="IM168" s="1"/>
      <c r="IN168" s="1"/>
      <c r="IO168" s="1"/>
      <c r="IP168" s="1"/>
      <c r="IQ168" s="1"/>
      <c r="IR168" s="1"/>
      <c r="IS168" s="1"/>
      <c r="IT168" s="1"/>
      <c r="IU168" s="1"/>
      <c r="IV168" s="1"/>
    </row>
    <row r="169" spans="1:256" ht="33" customHeight="1" x14ac:dyDescent="0.3">
      <c r="A169" s="1403">
        <v>160</v>
      </c>
      <c r="B169" s="1"/>
      <c r="C169" s="1417"/>
      <c r="D169" s="1684" t="s">
        <v>1028</v>
      </c>
      <c r="E169" s="958">
        <v>3810</v>
      </c>
      <c r="F169" s="1"/>
      <c r="G169" s="1"/>
      <c r="H169" s="1"/>
      <c r="I169" s="1"/>
      <c r="J169" s="1"/>
      <c r="K169" s="1"/>
      <c r="L169" s="1"/>
      <c r="M169" s="1"/>
      <c r="N169" s="1"/>
      <c r="O169" s="1"/>
      <c r="P169" s="1"/>
      <c r="Q169" s="1"/>
      <c r="R169" s="1"/>
      <c r="S169" s="1"/>
      <c r="T169" s="1"/>
      <c r="U169" s="1"/>
      <c r="V169" s="1"/>
      <c r="W169" s="1"/>
      <c r="X169" s="1"/>
      <c r="Y169" s="1"/>
      <c r="Z169" s="1"/>
      <c r="AA169" s="1"/>
      <c r="AB169" s="1"/>
      <c r="AC169" s="1"/>
      <c r="AD169" s="1"/>
      <c r="AE169" s="1"/>
      <c r="AF169" s="1"/>
      <c r="AG169" s="1"/>
      <c r="AH169" s="1"/>
      <c r="AI169" s="1"/>
      <c r="AJ169" s="1"/>
      <c r="AK169" s="1"/>
      <c r="AL169" s="1"/>
      <c r="AM169" s="1"/>
      <c r="AN169" s="1"/>
      <c r="AO169" s="1"/>
      <c r="AP169" s="1"/>
      <c r="AQ169" s="1"/>
      <c r="AR169" s="1"/>
      <c r="AS169" s="1"/>
      <c r="AT169" s="1"/>
      <c r="AU169" s="1"/>
      <c r="AV169" s="1"/>
      <c r="AW169" s="1"/>
      <c r="AX169" s="1"/>
      <c r="AY169" s="1"/>
      <c r="AZ169" s="1"/>
      <c r="BA169" s="1"/>
      <c r="BB169" s="1"/>
      <c r="BC169" s="1"/>
      <c r="BD169" s="1"/>
      <c r="BE169" s="1"/>
      <c r="BF169" s="1"/>
      <c r="BG169" s="1"/>
      <c r="BH169" s="1"/>
      <c r="BI169" s="1"/>
      <c r="BJ169" s="1"/>
      <c r="BK169" s="1"/>
      <c r="BL169" s="1"/>
      <c r="BM169" s="1"/>
      <c r="BN169" s="1"/>
      <c r="BO169" s="1"/>
      <c r="BP169" s="1"/>
      <c r="BQ169" s="1"/>
      <c r="BR169" s="1"/>
      <c r="BS169" s="1"/>
      <c r="BT169" s="1"/>
      <c r="BU169" s="1"/>
      <c r="BV169" s="1"/>
      <c r="BW169" s="1"/>
      <c r="BX169" s="1"/>
      <c r="BY169" s="1"/>
      <c r="BZ169" s="1"/>
      <c r="CA169" s="1"/>
      <c r="CB169" s="1"/>
      <c r="CC169" s="1"/>
      <c r="CD169" s="1"/>
      <c r="CE169" s="1"/>
      <c r="CF169" s="1"/>
      <c r="CG169" s="1"/>
      <c r="CH169" s="1"/>
      <c r="CI169" s="1"/>
      <c r="CJ169" s="1"/>
      <c r="CK169" s="1"/>
      <c r="CL169" s="1"/>
      <c r="CM169" s="1"/>
      <c r="CN169" s="1"/>
      <c r="CO169" s="1"/>
      <c r="CP169" s="1"/>
      <c r="CQ169" s="1"/>
      <c r="CR169" s="1"/>
      <c r="CS169" s="1"/>
      <c r="CT169" s="1"/>
      <c r="CU169" s="1"/>
      <c r="CV169" s="1"/>
      <c r="CW169" s="1"/>
      <c r="CX169" s="1"/>
      <c r="CY169" s="1"/>
      <c r="CZ169" s="1"/>
      <c r="DA169" s="1"/>
      <c r="DB169" s="1"/>
      <c r="DC169" s="1"/>
      <c r="DD169" s="1"/>
      <c r="DE169" s="1"/>
      <c r="DF169" s="1"/>
      <c r="DG169" s="1"/>
      <c r="DH169" s="1"/>
      <c r="DI169" s="1"/>
      <c r="DJ169" s="1"/>
      <c r="DK169" s="1"/>
      <c r="DL169" s="1"/>
      <c r="DM169" s="1"/>
      <c r="DN169" s="1"/>
      <c r="DO169" s="1"/>
      <c r="DP169" s="1"/>
      <c r="DQ169" s="1"/>
      <c r="DR169" s="1"/>
      <c r="DS169" s="1"/>
      <c r="DT169" s="1"/>
      <c r="DU169" s="1"/>
      <c r="DV169" s="1"/>
      <c r="DW169" s="1"/>
      <c r="DX169" s="1"/>
      <c r="DY169" s="1"/>
      <c r="DZ169" s="1"/>
      <c r="EA169" s="1"/>
      <c r="EB169" s="1"/>
      <c r="EC169" s="1"/>
      <c r="ED169" s="1"/>
      <c r="EE169" s="1"/>
      <c r="EF169" s="1"/>
      <c r="EG169" s="1"/>
      <c r="EH169" s="1"/>
      <c r="EI169" s="1"/>
      <c r="EJ169" s="1"/>
      <c r="EK169" s="1"/>
      <c r="EL169" s="1"/>
      <c r="EM169" s="1"/>
      <c r="EN169" s="1"/>
      <c r="EO169" s="1"/>
      <c r="EP169" s="1"/>
      <c r="EQ169" s="1"/>
      <c r="ER169" s="1"/>
      <c r="ES169" s="1"/>
      <c r="ET169" s="1"/>
      <c r="EU169" s="1"/>
      <c r="EV169" s="1"/>
      <c r="EW169" s="1"/>
      <c r="EX169" s="1"/>
      <c r="EY169" s="1"/>
      <c r="EZ169" s="1"/>
      <c r="FA169" s="1"/>
      <c r="FB169" s="1"/>
      <c r="FC169" s="1"/>
      <c r="FD169" s="1"/>
      <c r="FE169" s="1"/>
      <c r="FF169" s="1"/>
      <c r="FG169" s="1"/>
      <c r="FH169" s="1"/>
      <c r="FI169" s="1"/>
      <c r="FJ169" s="1"/>
      <c r="FK169" s="1"/>
      <c r="FL169" s="1"/>
      <c r="FM169" s="1"/>
      <c r="FN169" s="1"/>
      <c r="FO169" s="1"/>
      <c r="FP169" s="1"/>
      <c r="FQ169" s="1"/>
      <c r="FR169" s="1"/>
      <c r="FS169" s="1"/>
      <c r="FT169" s="1"/>
      <c r="FU169" s="1"/>
      <c r="FV169" s="1"/>
      <c r="FW169" s="1"/>
      <c r="FX169" s="1"/>
      <c r="FY169" s="1"/>
      <c r="FZ169" s="1"/>
      <c r="GA169" s="1"/>
      <c r="GB169" s="1"/>
      <c r="GC169" s="1"/>
      <c r="GD169" s="1"/>
      <c r="GE169" s="1"/>
      <c r="GF169" s="1"/>
      <c r="GG169" s="1"/>
      <c r="GH169" s="1"/>
      <c r="GI169" s="1"/>
      <c r="GJ169" s="1"/>
      <c r="GK169" s="1"/>
      <c r="GL169" s="1"/>
      <c r="GM169" s="1"/>
      <c r="GN169" s="1"/>
      <c r="GO169" s="1"/>
      <c r="GP169" s="1"/>
      <c r="GQ169" s="1"/>
      <c r="GR169" s="1"/>
      <c r="GS169" s="1"/>
      <c r="GT169" s="1"/>
      <c r="GU169" s="1"/>
      <c r="GV169" s="1"/>
      <c r="GW169" s="1"/>
      <c r="GX169" s="1"/>
      <c r="GY169" s="1"/>
      <c r="GZ169" s="1"/>
      <c r="HA169" s="1"/>
      <c r="HB169" s="1"/>
      <c r="HC169" s="1"/>
      <c r="HD169" s="1"/>
      <c r="HE169" s="1"/>
      <c r="HF169" s="1"/>
      <c r="HG169" s="1"/>
      <c r="HH169" s="1"/>
      <c r="HI169" s="1"/>
      <c r="HJ169" s="1"/>
      <c r="HK169" s="1"/>
      <c r="HL169" s="1"/>
      <c r="HM169" s="1"/>
      <c r="HN169" s="1"/>
      <c r="HO169" s="1"/>
      <c r="HP169" s="1"/>
      <c r="HQ169" s="1"/>
      <c r="HR169" s="1"/>
      <c r="HS169" s="1"/>
      <c r="HT169" s="1"/>
      <c r="HU169" s="1"/>
      <c r="HV169" s="1"/>
      <c r="HW169" s="1"/>
      <c r="HX169" s="1"/>
      <c r="HY169" s="1"/>
      <c r="HZ169" s="1"/>
      <c r="IA169" s="1"/>
      <c r="IB169" s="1"/>
      <c r="IC169" s="1"/>
      <c r="ID169" s="1"/>
      <c r="IE169" s="1"/>
      <c r="IF169" s="1"/>
      <c r="IG169" s="1"/>
      <c r="IH169" s="1"/>
      <c r="II169" s="1"/>
      <c r="IJ169" s="1"/>
      <c r="IK169" s="1"/>
      <c r="IL169" s="1"/>
      <c r="IM169" s="1"/>
      <c r="IN169" s="1"/>
      <c r="IO169" s="1"/>
      <c r="IP169" s="1"/>
      <c r="IQ169" s="1"/>
      <c r="IR169" s="1"/>
      <c r="IS169" s="1"/>
      <c r="IT169" s="1"/>
      <c r="IU169" s="1"/>
      <c r="IV169" s="1"/>
    </row>
    <row r="170" spans="1:256" ht="18" customHeight="1" x14ac:dyDescent="0.3">
      <c r="A170" s="1403">
        <v>161</v>
      </c>
      <c r="B170" s="1"/>
      <c r="C170" s="1417"/>
      <c r="D170" s="1684" t="s">
        <v>1119</v>
      </c>
      <c r="E170" s="958">
        <f>28703-8000-1040</f>
        <v>19663</v>
      </c>
      <c r="F170" s="1"/>
      <c r="G170" s="1"/>
      <c r="H170" s="1"/>
      <c r="I170" s="1"/>
      <c r="J170" s="1"/>
      <c r="K170" s="1"/>
      <c r="L170" s="1"/>
      <c r="M170" s="1"/>
      <c r="N170" s="1"/>
      <c r="O170" s="1"/>
      <c r="P170" s="1"/>
      <c r="Q170" s="1"/>
      <c r="R170" s="1"/>
      <c r="S170" s="1"/>
      <c r="T170" s="1"/>
      <c r="U170" s="1"/>
      <c r="V170" s="1"/>
      <c r="W170" s="1"/>
      <c r="X170" s="1"/>
      <c r="Y170" s="1"/>
      <c r="Z170" s="1"/>
      <c r="AA170" s="1"/>
      <c r="AB170" s="1"/>
      <c r="AC170" s="1"/>
      <c r="AD170" s="1"/>
      <c r="AE170" s="1"/>
      <c r="AF170" s="1"/>
      <c r="AG170" s="1"/>
      <c r="AH170" s="1"/>
      <c r="AI170" s="1"/>
      <c r="AJ170" s="1"/>
      <c r="AK170" s="1"/>
      <c r="AL170" s="1"/>
      <c r="AM170" s="1"/>
      <c r="AN170" s="1"/>
      <c r="AO170" s="1"/>
      <c r="AP170" s="1"/>
      <c r="AQ170" s="1"/>
      <c r="AR170" s="1"/>
      <c r="AS170" s="1"/>
      <c r="AT170" s="1"/>
      <c r="AU170" s="1"/>
      <c r="AV170" s="1"/>
      <c r="AW170" s="1"/>
      <c r="AX170" s="1"/>
      <c r="AY170" s="1"/>
      <c r="AZ170" s="1"/>
      <c r="BA170" s="1"/>
      <c r="BB170" s="1"/>
      <c r="BC170" s="1"/>
      <c r="BD170" s="1"/>
      <c r="BE170" s="1"/>
      <c r="BF170" s="1"/>
      <c r="BG170" s="1"/>
      <c r="BH170" s="1"/>
      <c r="BI170" s="1"/>
      <c r="BJ170" s="1"/>
      <c r="BK170" s="1"/>
      <c r="BL170" s="1"/>
      <c r="BM170" s="1"/>
      <c r="BN170" s="1"/>
      <c r="BO170" s="1"/>
      <c r="BP170" s="1"/>
      <c r="BQ170" s="1"/>
      <c r="BR170" s="1"/>
      <c r="BS170" s="1"/>
      <c r="BT170" s="1"/>
      <c r="BU170" s="1"/>
      <c r="BV170" s="1"/>
      <c r="BW170" s="1"/>
      <c r="BX170" s="1"/>
      <c r="BY170" s="1"/>
      <c r="BZ170" s="1"/>
      <c r="CA170" s="1"/>
      <c r="CB170" s="1"/>
      <c r="CC170" s="1"/>
      <c r="CD170" s="1"/>
      <c r="CE170" s="1"/>
      <c r="CF170" s="1"/>
      <c r="CG170" s="1"/>
      <c r="CH170" s="1"/>
      <c r="CI170" s="1"/>
      <c r="CJ170" s="1"/>
      <c r="CK170" s="1"/>
      <c r="CL170" s="1"/>
      <c r="CM170" s="1"/>
      <c r="CN170" s="1"/>
      <c r="CO170" s="1"/>
      <c r="CP170" s="1"/>
      <c r="CQ170" s="1"/>
      <c r="CR170" s="1"/>
      <c r="CS170" s="1"/>
      <c r="CT170" s="1"/>
      <c r="CU170" s="1"/>
      <c r="CV170" s="1"/>
      <c r="CW170" s="1"/>
      <c r="CX170" s="1"/>
      <c r="CY170" s="1"/>
      <c r="CZ170" s="1"/>
      <c r="DA170" s="1"/>
      <c r="DB170" s="1"/>
      <c r="DC170" s="1"/>
      <c r="DD170" s="1"/>
      <c r="DE170" s="1"/>
      <c r="DF170" s="1"/>
      <c r="DG170" s="1"/>
      <c r="DH170" s="1"/>
      <c r="DI170" s="1"/>
      <c r="DJ170" s="1"/>
      <c r="DK170" s="1"/>
      <c r="DL170" s="1"/>
      <c r="DM170" s="1"/>
      <c r="DN170" s="1"/>
      <c r="DO170" s="1"/>
      <c r="DP170" s="1"/>
      <c r="DQ170" s="1"/>
      <c r="DR170" s="1"/>
      <c r="DS170" s="1"/>
      <c r="DT170" s="1"/>
      <c r="DU170" s="1"/>
      <c r="DV170" s="1"/>
      <c r="DW170" s="1"/>
      <c r="DX170" s="1"/>
      <c r="DY170" s="1"/>
      <c r="DZ170" s="1"/>
      <c r="EA170" s="1"/>
      <c r="EB170" s="1"/>
      <c r="EC170" s="1"/>
      <c r="ED170" s="1"/>
      <c r="EE170" s="1"/>
      <c r="EF170" s="1"/>
      <c r="EG170" s="1"/>
      <c r="EH170" s="1"/>
      <c r="EI170" s="1"/>
      <c r="EJ170" s="1"/>
      <c r="EK170" s="1"/>
      <c r="EL170" s="1"/>
      <c r="EM170" s="1"/>
      <c r="EN170" s="1"/>
      <c r="EO170" s="1"/>
      <c r="EP170" s="1"/>
      <c r="EQ170" s="1"/>
      <c r="ER170" s="1"/>
      <c r="ES170" s="1"/>
      <c r="ET170" s="1"/>
      <c r="EU170" s="1"/>
      <c r="EV170" s="1"/>
      <c r="EW170" s="1"/>
      <c r="EX170" s="1"/>
      <c r="EY170" s="1"/>
      <c r="EZ170" s="1"/>
      <c r="FA170" s="1"/>
      <c r="FB170" s="1"/>
      <c r="FC170" s="1"/>
      <c r="FD170" s="1"/>
      <c r="FE170" s="1"/>
      <c r="FF170" s="1"/>
      <c r="FG170" s="1"/>
      <c r="FH170" s="1"/>
      <c r="FI170" s="1"/>
      <c r="FJ170" s="1"/>
      <c r="FK170" s="1"/>
      <c r="FL170" s="1"/>
      <c r="FM170" s="1"/>
      <c r="FN170" s="1"/>
      <c r="FO170" s="1"/>
      <c r="FP170" s="1"/>
      <c r="FQ170" s="1"/>
      <c r="FR170" s="1"/>
      <c r="FS170" s="1"/>
      <c r="FT170" s="1"/>
      <c r="FU170" s="1"/>
      <c r="FV170" s="1"/>
      <c r="FW170" s="1"/>
      <c r="FX170" s="1"/>
      <c r="FY170" s="1"/>
      <c r="FZ170" s="1"/>
      <c r="GA170" s="1"/>
      <c r="GB170" s="1"/>
      <c r="GC170" s="1"/>
      <c r="GD170" s="1"/>
      <c r="GE170" s="1"/>
      <c r="GF170" s="1"/>
      <c r="GG170" s="1"/>
      <c r="GH170" s="1"/>
      <c r="GI170" s="1"/>
      <c r="GJ170" s="1"/>
      <c r="GK170" s="1"/>
      <c r="GL170" s="1"/>
      <c r="GM170" s="1"/>
      <c r="GN170" s="1"/>
      <c r="GO170" s="1"/>
      <c r="GP170" s="1"/>
      <c r="GQ170" s="1"/>
      <c r="GR170" s="1"/>
      <c r="GS170" s="1"/>
      <c r="GT170" s="1"/>
      <c r="GU170" s="1"/>
      <c r="GV170" s="1"/>
      <c r="GW170" s="1"/>
      <c r="GX170" s="1"/>
      <c r="GY170" s="1"/>
      <c r="GZ170" s="1"/>
      <c r="HA170" s="1"/>
      <c r="HB170" s="1"/>
      <c r="HC170" s="1"/>
      <c r="HD170" s="1"/>
      <c r="HE170" s="1"/>
      <c r="HF170" s="1"/>
      <c r="HG170" s="1"/>
      <c r="HH170" s="1"/>
      <c r="HI170" s="1"/>
      <c r="HJ170" s="1"/>
      <c r="HK170" s="1"/>
      <c r="HL170" s="1"/>
      <c r="HM170" s="1"/>
      <c r="HN170" s="1"/>
      <c r="HO170" s="1"/>
      <c r="HP170" s="1"/>
      <c r="HQ170" s="1"/>
      <c r="HR170" s="1"/>
      <c r="HS170" s="1"/>
      <c r="HT170" s="1"/>
      <c r="HU170" s="1"/>
      <c r="HV170" s="1"/>
      <c r="HW170" s="1"/>
      <c r="HX170" s="1"/>
      <c r="HY170" s="1"/>
      <c r="HZ170" s="1"/>
      <c r="IA170" s="1"/>
      <c r="IB170" s="1"/>
      <c r="IC170" s="1"/>
      <c r="ID170" s="1"/>
      <c r="IE170" s="1"/>
      <c r="IF170" s="1"/>
      <c r="IG170" s="1"/>
      <c r="IH170" s="1"/>
      <c r="II170" s="1"/>
      <c r="IJ170" s="1"/>
      <c r="IK170" s="1"/>
      <c r="IL170" s="1"/>
      <c r="IM170" s="1"/>
      <c r="IN170" s="1"/>
      <c r="IO170" s="1"/>
      <c r="IP170" s="1"/>
      <c r="IQ170" s="1"/>
      <c r="IR170" s="1"/>
      <c r="IS170" s="1"/>
      <c r="IT170" s="1"/>
      <c r="IU170" s="1"/>
      <c r="IV170" s="1"/>
    </row>
    <row r="171" spans="1:256" ht="36.75" customHeight="1" x14ac:dyDescent="0.3">
      <c r="A171" s="1403">
        <v>162</v>
      </c>
      <c r="B171" s="1"/>
      <c r="C171" s="1417"/>
      <c r="D171" s="1684" t="s">
        <v>1118</v>
      </c>
      <c r="E171" s="1548">
        <v>12249</v>
      </c>
      <c r="F171" s="1"/>
      <c r="G171" s="1"/>
      <c r="H171" s="1"/>
      <c r="I171" s="1"/>
      <c r="J171" s="1"/>
      <c r="K171" s="1"/>
      <c r="L171" s="1"/>
      <c r="M171" s="1"/>
      <c r="N171" s="1"/>
      <c r="O171" s="1"/>
      <c r="P171" s="1"/>
      <c r="Q171" s="1"/>
      <c r="R171" s="1"/>
      <c r="S171" s="1"/>
      <c r="T171" s="1"/>
      <c r="U171" s="1"/>
      <c r="V171" s="1"/>
      <c r="W171" s="1"/>
      <c r="X171" s="1"/>
      <c r="Y171" s="1"/>
      <c r="Z171" s="1"/>
      <c r="AA171" s="1"/>
      <c r="AB171" s="1"/>
      <c r="AC171" s="1"/>
      <c r="AD171" s="1"/>
      <c r="AE171" s="1"/>
      <c r="AF171" s="1"/>
      <c r="AG171" s="1"/>
      <c r="AH171" s="1"/>
      <c r="AI171" s="1"/>
      <c r="AJ171" s="1"/>
      <c r="AK171" s="1"/>
      <c r="AL171" s="1"/>
      <c r="AM171" s="1"/>
      <c r="AN171" s="1"/>
      <c r="AO171" s="1"/>
      <c r="AP171" s="1"/>
      <c r="AQ171" s="1"/>
      <c r="AR171" s="1"/>
      <c r="AS171" s="1"/>
      <c r="AT171" s="1"/>
      <c r="AU171" s="1"/>
      <c r="AV171" s="1"/>
      <c r="AW171" s="1"/>
      <c r="AX171" s="1"/>
      <c r="AY171" s="1"/>
      <c r="AZ171" s="1"/>
      <c r="BA171" s="1"/>
      <c r="BB171" s="1"/>
      <c r="BC171" s="1"/>
      <c r="BD171" s="1"/>
      <c r="BE171" s="1"/>
      <c r="BF171" s="1"/>
      <c r="BG171" s="1"/>
      <c r="BH171" s="1"/>
      <c r="BI171" s="1"/>
      <c r="BJ171" s="1"/>
      <c r="BK171" s="1"/>
      <c r="BL171" s="1"/>
      <c r="BM171" s="1"/>
      <c r="BN171" s="1"/>
      <c r="BO171" s="1"/>
      <c r="BP171" s="1"/>
      <c r="BQ171" s="1"/>
      <c r="BR171" s="1"/>
      <c r="BS171" s="1"/>
      <c r="BT171" s="1"/>
      <c r="BU171" s="1"/>
      <c r="BV171" s="1"/>
      <c r="BW171" s="1"/>
      <c r="BX171" s="1"/>
      <c r="BY171" s="1"/>
      <c r="BZ171" s="1"/>
      <c r="CA171" s="1"/>
      <c r="CB171" s="1"/>
      <c r="CC171" s="1"/>
      <c r="CD171" s="1"/>
      <c r="CE171" s="1"/>
      <c r="CF171" s="1"/>
      <c r="CG171" s="1"/>
      <c r="CH171" s="1"/>
      <c r="CI171" s="1"/>
      <c r="CJ171" s="1"/>
      <c r="CK171" s="1"/>
      <c r="CL171" s="1"/>
      <c r="CM171" s="1"/>
      <c r="CN171" s="1"/>
      <c r="CO171" s="1"/>
      <c r="CP171" s="1"/>
      <c r="CQ171" s="1"/>
      <c r="CR171" s="1"/>
      <c r="CS171" s="1"/>
      <c r="CT171" s="1"/>
      <c r="CU171" s="1"/>
      <c r="CV171" s="1"/>
      <c r="CW171" s="1"/>
      <c r="CX171" s="1"/>
      <c r="CY171" s="1"/>
      <c r="CZ171" s="1"/>
      <c r="DA171" s="1"/>
      <c r="DB171" s="1"/>
      <c r="DC171" s="1"/>
      <c r="DD171" s="1"/>
      <c r="DE171" s="1"/>
      <c r="DF171" s="1"/>
      <c r="DG171" s="1"/>
      <c r="DH171" s="1"/>
      <c r="DI171" s="1"/>
      <c r="DJ171" s="1"/>
      <c r="DK171" s="1"/>
      <c r="DL171" s="1"/>
      <c r="DM171" s="1"/>
      <c r="DN171" s="1"/>
      <c r="DO171" s="1"/>
      <c r="DP171" s="1"/>
      <c r="DQ171" s="1"/>
      <c r="DR171" s="1"/>
      <c r="DS171" s="1"/>
      <c r="DT171" s="1"/>
      <c r="DU171" s="1"/>
      <c r="DV171" s="1"/>
      <c r="DW171" s="1"/>
      <c r="DX171" s="1"/>
      <c r="DY171" s="1"/>
      <c r="DZ171" s="1"/>
      <c r="EA171" s="1"/>
      <c r="EB171" s="1"/>
      <c r="EC171" s="1"/>
      <c r="ED171" s="1"/>
      <c r="EE171" s="1"/>
      <c r="EF171" s="1"/>
      <c r="EG171" s="1"/>
      <c r="EH171" s="1"/>
      <c r="EI171" s="1"/>
      <c r="EJ171" s="1"/>
      <c r="EK171" s="1"/>
      <c r="EL171" s="1"/>
      <c r="EM171" s="1"/>
      <c r="EN171" s="1"/>
      <c r="EO171" s="1"/>
      <c r="EP171" s="1"/>
      <c r="EQ171" s="1"/>
      <c r="ER171" s="1"/>
      <c r="ES171" s="1"/>
      <c r="ET171" s="1"/>
      <c r="EU171" s="1"/>
      <c r="EV171" s="1"/>
      <c r="EW171" s="1"/>
      <c r="EX171" s="1"/>
      <c r="EY171" s="1"/>
      <c r="EZ171" s="1"/>
      <c r="FA171" s="1"/>
      <c r="FB171" s="1"/>
      <c r="FC171" s="1"/>
      <c r="FD171" s="1"/>
      <c r="FE171" s="1"/>
      <c r="FF171" s="1"/>
      <c r="FG171" s="1"/>
      <c r="FH171" s="1"/>
      <c r="FI171" s="1"/>
      <c r="FJ171" s="1"/>
      <c r="FK171" s="1"/>
      <c r="FL171" s="1"/>
      <c r="FM171" s="1"/>
      <c r="FN171" s="1"/>
      <c r="FO171" s="1"/>
      <c r="FP171" s="1"/>
      <c r="FQ171" s="1"/>
      <c r="FR171" s="1"/>
      <c r="FS171" s="1"/>
      <c r="FT171" s="1"/>
      <c r="FU171" s="1"/>
      <c r="FV171" s="1"/>
      <c r="FW171" s="1"/>
      <c r="FX171" s="1"/>
      <c r="FY171" s="1"/>
      <c r="FZ171" s="1"/>
      <c r="GA171" s="1"/>
      <c r="GB171" s="1"/>
      <c r="GC171" s="1"/>
      <c r="GD171" s="1"/>
      <c r="GE171" s="1"/>
      <c r="GF171" s="1"/>
      <c r="GG171" s="1"/>
      <c r="GH171" s="1"/>
      <c r="GI171" s="1"/>
      <c r="GJ171" s="1"/>
      <c r="GK171" s="1"/>
      <c r="GL171" s="1"/>
      <c r="GM171" s="1"/>
      <c r="GN171" s="1"/>
      <c r="GO171" s="1"/>
      <c r="GP171" s="1"/>
      <c r="GQ171" s="1"/>
      <c r="GR171" s="1"/>
      <c r="GS171" s="1"/>
      <c r="GT171" s="1"/>
      <c r="GU171" s="1"/>
      <c r="GV171" s="1"/>
      <c r="GW171" s="1"/>
      <c r="GX171" s="1"/>
      <c r="GY171" s="1"/>
      <c r="GZ171" s="1"/>
      <c r="HA171" s="1"/>
      <c r="HB171" s="1"/>
      <c r="HC171" s="1"/>
      <c r="HD171" s="1"/>
      <c r="HE171" s="1"/>
      <c r="HF171" s="1"/>
      <c r="HG171" s="1"/>
      <c r="HH171" s="1"/>
      <c r="HI171" s="1"/>
      <c r="HJ171" s="1"/>
      <c r="HK171" s="1"/>
      <c r="HL171" s="1"/>
      <c r="HM171" s="1"/>
      <c r="HN171" s="1"/>
      <c r="HO171" s="1"/>
      <c r="HP171" s="1"/>
      <c r="HQ171" s="1"/>
      <c r="HR171" s="1"/>
      <c r="HS171" s="1"/>
      <c r="HT171" s="1"/>
      <c r="HU171" s="1"/>
      <c r="HV171" s="1"/>
      <c r="HW171" s="1"/>
      <c r="HX171" s="1"/>
      <c r="HY171" s="1"/>
      <c r="HZ171" s="1"/>
      <c r="IA171" s="1"/>
      <c r="IB171" s="1"/>
      <c r="IC171" s="1"/>
      <c r="ID171" s="1"/>
      <c r="IE171" s="1"/>
      <c r="IF171" s="1"/>
      <c r="IG171" s="1"/>
      <c r="IH171" s="1"/>
      <c r="II171" s="1"/>
      <c r="IJ171" s="1"/>
      <c r="IK171" s="1"/>
      <c r="IL171" s="1"/>
      <c r="IM171" s="1"/>
      <c r="IN171" s="1"/>
      <c r="IO171" s="1"/>
      <c r="IP171" s="1"/>
      <c r="IQ171" s="1"/>
      <c r="IR171" s="1"/>
      <c r="IS171" s="1"/>
      <c r="IT171" s="1"/>
      <c r="IU171" s="1"/>
      <c r="IV171" s="1"/>
    </row>
    <row r="172" spans="1:256" ht="18" customHeight="1" x14ac:dyDescent="0.35">
      <c r="A172" s="1403">
        <v>163</v>
      </c>
      <c r="B172" s="1"/>
      <c r="C172" s="1417"/>
      <c r="D172" s="1567" t="s">
        <v>101</v>
      </c>
      <c r="E172" s="1408">
        <f>SUM(E151:E171)</f>
        <v>234606</v>
      </c>
      <c r="F172" s="1"/>
      <c r="G172" s="1"/>
      <c r="H172" s="1"/>
      <c r="I172" s="1"/>
      <c r="J172" s="1"/>
      <c r="K172" s="1"/>
      <c r="L172" s="1"/>
      <c r="M172" s="1"/>
      <c r="N172" s="1"/>
      <c r="O172" s="1"/>
      <c r="P172" s="1"/>
      <c r="Q172" s="1"/>
      <c r="R172" s="1"/>
      <c r="S172" s="1"/>
      <c r="T172" s="1"/>
      <c r="U172" s="1"/>
      <c r="V172" s="1"/>
      <c r="W172" s="1"/>
      <c r="X172" s="1"/>
      <c r="Y172" s="1"/>
      <c r="Z172" s="1"/>
      <c r="AA172" s="1"/>
      <c r="AB172" s="1"/>
      <c r="AC172" s="1"/>
      <c r="AD172" s="1"/>
      <c r="AE172" s="1"/>
      <c r="AF172" s="1"/>
      <c r="AG172" s="1"/>
      <c r="AH172" s="1"/>
      <c r="AI172" s="1"/>
      <c r="AJ172" s="1"/>
      <c r="AK172" s="1"/>
      <c r="AL172" s="1"/>
      <c r="AM172" s="1"/>
      <c r="AN172" s="1"/>
      <c r="AO172" s="1"/>
      <c r="AP172" s="1"/>
      <c r="AQ172" s="1"/>
      <c r="AR172" s="1"/>
      <c r="AS172" s="1"/>
      <c r="AT172" s="1"/>
      <c r="AU172" s="1"/>
      <c r="AV172" s="1"/>
      <c r="AW172" s="1"/>
      <c r="AX172" s="1"/>
      <c r="AY172" s="1"/>
      <c r="AZ172" s="1"/>
      <c r="BA172" s="1"/>
      <c r="BB172" s="1"/>
      <c r="BC172" s="1"/>
      <c r="BD172" s="1"/>
      <c r="BE172" s="1"/>
      <c r="BF172" s="1"/>
      <c r="BG172" s="1"/>
      <c r="BH172" s="1"/>
      <c r="BI172" s="1"/>
      <c r="BJ172" s="1"/>
      <c r="BK172" s="1"/>
      <c r="BL172" s="1"/>
      <c r="BM172" s="1"/>
      <c r="BN172" s="1"/>
      <c r="BO172" s="1"/>
      <c r="BP172" s="1"/>
      <c r="BQ172" s="1"/>
      <c r="BR172" s="1"/>
      <c r="BS172" s="1"/>
      <c r="BT172" s="1"/>
      <c r="BU172" s="1"/>
      <c r="BV172" s="1"/>
      <c r="BW172" s="1"/>
      <c r="BX172" s="1"/>
      <c r="BY172" s="1"/>
      <c r="BZ172" s="1"/>
      <c r="CA172" s="1"/>
      <c r="CB172" s="1"/>
      <c r="CC172" s="1"/>
      <c r="CD172" s="1"/>
      <c r="CE172" s="1"/>
      <c r="CF172" s="1"/>
      <c r="CG172" s="1"/>
      <c r="CH172" s="1"/>
      <c r="CI172" s="1"/>
      <c r="CJ172" s="1"/>
      <c r="CK172" s="1"/>
      <c r="CL172" s="1"/>
      <c r="CM172" s="1"/>
      <c r="CN172" s="1"/>
      <c r="CO172" s="1"/>
      <c r="CP172" s="1"/>
      <c r="CQ172" s="1"/>
      <c r="CR172" s="1"/>
      <c r="CS172" s="1"/>
      <c r="CT172" s="1"/>
      <c r="CU172" s="1"/>
      <c r="CV172" s="1"/>
      <c r="CW172" s="1"/>
      <c r="CX172" s="1"/>
      <c r="CY172" s="1"/>
      <c r="CZ172" s="1"/>
      <c r="DA172" s="1"/>
      <c r="DB172" s="1"/>
      <c r="DC172" s="1"/>
      <c r="DD172" s="1"/>
      <c r="DE172" s="1"/>
      <c r="DF172" s="1"/>
      <c r="DG172" s="1"/>
      <c r="DH172" s="1"/>
      <c r="DI172" s="1"/>
      <c r="DJ172" s="1"/>
      <c r="DK172" s="1"/>
      <c r="DL172" s="1"/>
      <c r="DM172" s="1"/>
      <c r="DN172" s="1"/>
      <c r="DO172" s="1"/>
      <c r="DP172" s="1"/>
      <c r="DQ172" s="1"/>
      <c r="DR172" s="1"/>
      <c r="DS172" s="1"/>
      <c r="DT172" s="1"/>
      <c r="DU172" s="1"/>
      <c r="DV172" s="1"/>
      <c r="DW172" s="1"/>
      <c r="DX172" s="1"/>
      <c r="DY172" s="1"/>
      <c r="DZ172" s="1"/>
      <c r="EA172" s="1"/>
      <c r="EB172" s="1"/>
      <c r="EC172" s="1"/>
      <c r="ED172" s="1"/>
      <c r="EE172" s="1"/>
      <c r="EF172" s="1"/>
      <c r="EG172" s="1"/>
      <c r="EH172" s="1"/>
      <c r="EI172" s="1"/>
      <c r="EJ172" s="1"/>
      <c r="EK172" s="1"/>
      <c r="EL172" s="1"/>
      <c r="EM172" s="1"/>
      <c r="EN172" s="1"/>
      <c r="EO172" s="1"/>
      <c r="EP172" s="1"/>
      <c r="EQ172" s="1"/>
      <c r="ER172" s="1"/>
      <c r="ES172" s="1"/>
      <c r="ET172" s="1"/>
      <c r="EU172" s="1"/>
      <c r="EV172" s="1"/>
      <c r="EW172" s="1"/>
      <c r="EX172" s="1"/>
      <c r="EY172" s="1"/>
      <c r="EZ172" s="1"/>
      <c r="FA172" s="1"/>
      <c r="FB172" s="1"/>
      <c r="FC172" s="1"/>
      <c r="FD172" s="1"/>
      <c r="FE172" s="1"/>
      <c r="FF172" s="1"/>
      <c r="FG172" s="1"/>
      <c r="FH172" s="1"/>
      <c r="FI172" s="1"/>
      <c r="FJ172" s="1"/>
      <c r="FK172" s="1"/>
      <c r="FL172" s="1"/>
      <c r="FM172" s="1"/>
      <c r="FN172" s="1"/>
      <c r="FO172" s="1"/>
      <c r="FP172" s="1"/>
      <c r="FQ172" s="1"/>
      <c r="FR172" s="1"/>
      <c r="FS172" s="1"/>
      <c r="FT172" s="1"/>
      <c r="FU172" s="1"/>
      <c r="FV172" s="1"/>
      <c r="FW172" s="1"/>
      <c r="FX172" s="1"/>
      <c r="FY172" s="1"/>
      <c r="FZ172" s="1"/>
      <c r="GA172" s="1"/>
      <c r="GB172" s="1"/>
      <c r="GC172" s="1"/>
      <c r="GD172" s="1"/>
      <c r="GE172" s="1"/>
      <c r="GF172" s="1"/>
      <c r="GG172" s="1"/>
      <c r="GH172" s="1"/>
      <c r="GI172" s="1"/>
      <c r="GJ172" s="1"/>
      <c r="GK172" s="1"/>
      <c r="GL172" s="1"/>
      <c r="GM172" s="1"/>
      <c r="GN172" s="1"/>
      <c r="GO172" s="1"/>
      <c r="GP172" s="1"/>
      <c r="GQ172" s="1"/>
      <c r="GR172" s="1"/>
      <c r="GS172" s="1"/>
      <c r="GT172" s="1"/>
      <c r="GU172" s="1"/>
      <c r="GV172" s="1"/>
      <c r="GW172" s="1"/>
      <c r="GX172" s="1"/>
      <c r="GY172" s="1"/>
      <c r="GZ172" s="1"/>
      <c r="HA172" s="1"/>
      <c r="HB172" s="1"/>
      <c r="HC172" s="1"/>
      <c r="HD172" s="1"/>
      <c r="HE172" s="1"/>
      <c r="HF172" s="1"/>
      <c r="HG172" s="1"/>
      <c r="HH172" s="1"/>
      <c r="HI172" s="1"/>
      <c r="HJ172" s="1"/>
      <c r="HK172" s="1"/>
      <c r="HL172" s="1"/>
      <c r="HM172" s="1"/>
      <c r="HN172" s="1"/>
      <c r="HO172" s="1"/>
      <c r="HP172" s="1"/>
      <c r="HQ172" s="1"/>
      <c r="HR172" s="1"/>
      <c r="HS172" s="1"/>
      <c r="HT172" s="1"/>
      <c r="HU172" s="1"/>
      <c r="HV172" s="1"/>
      <c r="HW172" s="1"/>
      <c r="HX172" s="1"/>
      <c r="HY172" s="1"/>
      <c r="HZ172" s="1"/>
      <c r="IA172" s="1"/>
      <c r="IB172" s="1"/>
      <c r="IC172" s="1"/>
      <c r="ID172" s="1"/>
      <c r="IE172" s="1"/>
      <c r="IF172" s="1"/>
      <c r="IG172" s="1"/>
      <c r="IH172" s="1"/>
      <c r="II172" s="1"/>
      <c r="IJ172" s="1"/>
      <c r="IK172" s="1"/>
      <c r="IL172" s="1"/>
      <c r="IM172" s="1"/>
      <c r="IN172" s="1"/>
      <c r="IO172" s="1"/>
      <c r="IP172" s="1"/>
      <c r="IQ172" s="1"/>
      <c r="IR172" s="1"/>
      <c r="IS172" s="1"/>
      <c r="IT172" s="1"/>
      <c r="IU172" s="1"/>
      <c r="IV172" s="1"/>
    </row>
    <row r="173" spans="1:256" ht="19.5" customHeight="1" thickBot="1" x14ac:dyDescent="0.35">
      <c r="A173" s="1403">
        <v>164</v>
      </c>
      <c r="B173" s="1568"/>
      <c r="C173" s="1568"/>
      <c r="D173" s="1569" t="s">
        <v>763</v>
      </c>
      <c r="E173" s="1570">
        <f>E172+E148+E143</f>
        <v>272327</v>
      </c>
      <c r="F173" s="1417"/>
      <c r="G173" s="280"/>
      <c r="H173" s="1417"/>
      <c r="I173" s="1417"/>
      <c r="J173" s="1417"/>
      <c r="K173" s="1417"/>
      <c r="L173" s="1417"/>
      <c r="M173" s="1417"/>
      <c r="N173" s="1417"/>
      <c r="O173" s="1417"/>
      <c r="P173" s="1417"/>
      <c r="Q173" s="1417"/>
      <c r="R173" s="1417"/>
      <c r="S173" s="1417"/>
      <c r="T173" s="1417"/>
      <c r="U173" s="1417"/>
      <c r="V173" s="1417"/>
      <c r="W173" s="1417"/>
      <c r="X173" s="1417"/>
      <c r="Y173" s="1417"/>
      <c r="Z173" s="1417"/>
      <c r="AA173" s="1417"/>
      <c r="AB173" s="1417"/>
      <c r="AC173" s="1417"/>
      <c r="AD173" s="1417"/>
      <c r="AE173" s="1417"/>
      <c r="AF173" s="1417"/>
      <c r="AG173" s="1417"/>
      <c r="AH173" s="1417"/>
      <c r="AI173" s="1417"/>
      <c r="AJ173" s="1417"/>
      <c r="AK173" s="1417"/>
      <c r="AL173" s="1417"/>
      <c r="AM173" s="1417"/>
      <c r="AN173" s="1417"/>
      <c r="AO173" s="1417"/>
      <c r="AP173" s="1417"/>
      <c r="AQ173" s="1417"/>
      <c r="AR173" s="1417"/>
      <c r="AS173" s="1417"/>
      <c r="AT173" s="1417"/>
      <c r="AU173" s="1417"/>
      <c r="AV173" s="1417"/>
      <c r="AW173" s="1417"/>
      <c r="AX173" s="1417"/>
      <c r="AY173" s="1417"/>
      <c r="AZ173" s="1417"/>
      <c r="BA173" s="1417"/>
      <c r="BB173" s="1417"/>
      <c r="BC173" s="1417"/>
      <c r="BD173" s="1417"/>
      <c r="BE173" s="1417"/>
      <c r="BF173" s="1417"/>
      <c r="BG173" s="1417"/>
      <c r="BH173" s="1417"/>
      <c r="BI173" s="1417"/>
      <c r="BJ173" s="1417"/>
      <c r="BK173" s="1417"/>
      <c r="BL173" s="1417"/>
      <c r="BM173" s="1417"/>
      <c r="BN173" s="1417"/>
      <c r="BO173" s="1417"/>
      <c r="BP173" s="1417"/>
      <c r="BQ173" s="1417"/>
      <c r="BR173" s="1417"/>
      <c r="BS173" s="1417"/>
      <c r="BT173" s="1417"/>
      <c r="BU173" s="1417"/>
      <c r="BV173" s="1417"/>
      <c r="BW173" s="1417"/>
      <c r="BX173" s="1417"/>
      <c r="BY173" s="1417"/>
      <c r="BZ173" s="1417"/>
      <c r="CA173" s="1417"/>
      <c r="CB173" s="1417"/>
      <c r="CC173" s="1417"/>
      <c r="CD173" s="1417"/>
      <c r="CE173" s="1417"/>
      <c r="CF173" s="1417"/>
      <c r="CG173" s="1417"/>
      <c r="CH173" s="1417"/>
      <c r="CI173" s="1417"/>
      <c r="CJ173" s="1417"/>
      <c r="CK173" s="1417"/>
      <c r="CL173" s="1417"/>
      <c r="CM173" s="1417"/>
      <c r="CN173" s="1417"/>
      <c r="CO173" s="1417"/>
      <c r="CP173" s="1417"/>
      <c r="CQ173" s="1417"/>
      <c r="CR173" s="1417"/>
      <c r="CS173" s="1417"/>
      <c r="CT173" s="1417"/>
      <c r="CU173" s="1417"/>
      <c r="CV173" s="1417"/>
      <c r="CW173" s="1417"/>
      <c r="CX173" s="1417"/>
      <c r="CY173" s="1417"/>
      <c r="CZ173" s="1417"/>
      <c r="DA173" s="1417"/>
      <c r="DB173" s="1417"/>
      <c r="DC173" s="1417"/>
      <c r="DD173" s="1417"/>
      <c r="DE173" s="1417"/>
      <c r="DF173" s="1417"/>
      <c r="DG173" s="1417"/>
      <c r="DH173" s="1417"/>
      <c r="DI173" s="1417"/>
      <c r="DJ173" s="1417"/>
      <c r="DK173" s="1417"/>
      <c r="DL173" s="1417"/>
      <c r="DM173" s="1417"/>
      <c r="DN173" s="1417"/>
      <c r="DO173" s="1417"/>
      <c r="DP173" s="1417"/>
      <c r="DQ173" s="1417"/>
      <c r="DR173" s="1417"/>
      <c r="DS173" s="1417"/>
      <c r="DT173" s="1417"/>
      <c r="DU173" s="1417"/>
      <c r="DV173" s="1417"/>
      <c r="DW173" s="1417"/>
      <c r="DX173" s="1417"/>
      <c r="DY173" s="1417"/>
      <c r="DZ173" s="1417"/>
      <c r="EA173" s="1417"/>
      <c r="EB173" s="1417"/>
      <c r="EC173" s="1417"/>
      <c r="ED173" s="1417"/>
      <c r="EE173" s="1417"/>
      <c r="EF173" s="1417"/>
      <c r="EG173" s="1417"/>
      <c r="EH173" s="1417"/>
      <c r="EI173" s="1417"/>
      <c r="EJ173" s="1417"/>
      <c r="EK173" s="1417"/>
      <c r="EL173" s="1417"/>
      <c r="EM173" s="1417"/>
      <c r="EN173" s="1417"/>
      <c r="EO173" s="1417"/>
      <c r="EP173" s="1417"/>
      <c r="EQ173" s="1417"/>
      <c r="ER173" s="1417"/>
      <c r="ES173" s="1417"/>
      <c r="ET173" s="1417"/>
      <c r="EU173" s="1417"/>
      <c r="EV173" s="1417"/>
      <c r="EW173" s="1417"/>
      <c r="EX173" s="1417"/>
      <c r="EY173" s="1417"/>
      <c r="EZ173" s="1417"/>
      <c r="FA173" s="1417"/>
      <c r="FB173" s="1417"/>
      <c r="FC173" s="1417"/>
      <c r="FD173" s="1417"/>
      <c r="FE173" s="1417"/>
      <c r="FF173" s="1417"/>
      <c r="FG173" s="1417"/>
      <c r="FH173" s="1417"/>
      <c r="FI173" s="1417"/>
      <c r="FJ173" s="1417"/>
      <c r="FK173" s="1417"/>
      <c r="FL173" s="1417"/>
      <c r="FM173" s="1417"/>
      <c r="FN173" s="1417"/>
      <c r="FO173" s="1417"/>
      <c r="FP173" s="1417"/>
      <c r="FQ173" s="1417"/>
      <c r="FR173" s="1417"/>
      <c r="FS173" s="1417"/>
      <c r="FT173" s="1417"/>
      <c r="FU173" s="1417"/>
      <c r="FV173" s="1417"/>
      <c r="FW173" s="1417"/>
      <c r="FX173" s="1417"/>
      <c r="FY173" s="1417"/>
      <c r="FZ173" s="1417"/>
      <c r="GA173" s="1417"/>
      <c r="GB173" s="1417"/>
      <c r="GC173" s="1417"/>
      <c r="GD173" s="1417"/>
      <c r="GE173" s="1417"/>
      <c r="GF173" s="1417"/>
      <c r="GG173" s="1417"/>
      <c r="GH173" s="1417"/>
      <c r="GI173" s="1417"/>
      <c r="GJ173" s="1417"/>
      <c r="GK173" s="1417"/>
      <c r="GL173" s="1417"/>
      <c r="GM173" s="1417"/>
      <c r="GN173" s="1417"/>
      <c r="GO173" s="1417"/>
      <c r="GP173" s="1417"/>
      <c r="GQ173" s="1417"/>
      <c r="GR173" s="1417"/>
      <c r="GS173" s="1417"/>
      <c r="GT173" s="1417"/>
      <c r="GU173" s="1417"/>
      <c r="GV173" s="1417"/>
      <c r="GW173" s="1417"/>
      <c r="GX173" s="1417"/>
      <c r="GY173" s="1417"/>
      <c r="GZ173" s="1417"/>
      <c r="HA173" s="1417"/>
      <c r="HB173" s="1417"/>
      <c r="HC173" s="1417"/>
      <c r="HD173" s="1417"/>
      <c r="HE173" s="1417"/>
      <c r="HF173" s="1417"/>
      <c r="HG173" s="1417"/>
      <c r="HH173" s="1417"/>
      <c r="HI173" s="1417"/>
      <c r="HJ173" s="1417"/>
      <c r="HK173" s="1417"/>
      <c r="HL173" s="1417"/>
      <c r="HM173" s="1417"/>
      <c r="HN173" s="1417"/>
      <c r="HO173" s="1417"/>
      <c r="HP173" s="1417"/>
      <c r="HQ173" s="1417"/>
      <c r="HR173" s="1417"/>
      <c r="HS173" s="1417"/>
      <c r="HT173" s="1417"/>
      <c r="HU173" s="1417"/>
      <c r="HV173" s="1417"/>
      <c r="HW173" s="1417"/>
      <c r="HX173" s="1417"/>
      <c r="HY173" s="1417"/>
      <c r="HZ173" s="1417"/>
      <c r="IA173" s="1417"/>
      <c r="IB173" s="1417"/>
      <c r="IC173" s="1417"/>
      <c r="ID173" s="1417"/>
      <c r="IE173" s="1417"/>
      <c r="IF173" s="1417"/>
      <c r="IG173" s="1417"/>
      <c r="IH173" s="1417"/>
      <c r="II173" s="1417"/>
      <c r="IJ173" s="1417"/>
      <c r="IK173" s="1417"/>
      <c r="IL173" s="1417"/>
      <c r="IM173" s="1417"/>
      <c r="IN173" s="1417"/>
      <c r="IO173" s="1417"/>
      <c r="IP173" s="1417"/>
      <c r="IQ173" s="1417"/>
      <c r="IR173" s="1417"/>
      <c r="IS173" s="1417"/>
      <c r="IT173" s="1417"/>
      <c r="IU173" s="1417"/>
      <c r="IV173" s="1417"/>
    </row>
    <row r="174" spans="1:256" ht="24.75" customHeight="1" thickTop="1" x14ac:dyDescent="0.35">
      <c r="A174" s="1403">
        <v>165</v>
      </c>
      <c r="B174" s="64"/>
      <c r="C174" s="1414" t="s">
        <v>742</v>
      </c>
      <c r="D174" s="1563" t="s">
        <v>764</v>
      </c>
    </row>
    <row r="175" spans="1:256" ht="24.95" customHeight="1" x14ac:dyDescent="0.35">
      <c r="A175" s="1403">
        <v>166</v>
      </c>
      <c r="C175" s="1414"/>
      <c r="D175" s="1559" t="s">
        <v>765</v>
      </c>
    </row>
    <row r="176" spans="1:256" ht="22.5" customHeight="1" x14ac:dyDescent="0.35">
      <c r="A176" s="1403">
        <v>167</v>
      </c>
      <c r="C176" s="1414"/>
      <c r="D176" s="1571" t="s">
        <v>760</v>
      </c>
    </row>
    <row r="177" spans="1:12" ht="19.5" customHeight="1" x14ac:dyDescent="0.35">
      <c r="A177" s="1403">
        <v>168</v>
      </c>
      <c r="C177" s="1414"/>
      <c r="D177" s="1566" t="s">
        <v>766</v>
      </c>
      <c r="E177" s="1572"/>
    </row>
    <row r="178" spans="1:12" ht="18" customHeight="1" x14ac:dyDescent="0.35">
      <c r="A178" s="1403">
        <v>169</v>
      </c>
      <c r="C178" s="1414"/>
      <c r="D178" s="1720" t="s">
        <v>896</v>
      </c>
      <c r="E178" s="1573">
        <v>400</v>
      </c>
    </row>
    <row r="179" spans="1:12" ht="18" customHeight="1" x14ac:dyDescent="0.35">
      <c r="A179" s="1403">
        <v>170</v>
      </c>
      <c r="C179" s="1414"/>
      <c r="D179" s="1721" t="s">
        <v>387</v>
      </c>
      <c r="E179" s="1573">
        <v>-129</v>
      </c>
    </row>
    <row r="180" spans="1:12" ht="33.75" customHeight="1" x14ac:dyDescent="0.35">
      <c r="A180" s="1403">
        <v>171</v>
      </c>
      <c r="C180" s="1414"/>
      <c r="D180" s="1721" t="s">
        <v>644</v>
      </c>
      <c r="E180" s="1573">
        <f>1698+4921+13000-90</f>
        <v>19529</v>
      </c>
    </row>
    <row r="181" spans="1:12" ht="17.25" customHeight="1" x14ac:dyDescent="0.35">
      <c r="A181" s="1403">
        <v>172</v>
      </c>
      <c r="C181" s="1414"/>
      <c r="D181" s="1721" t="s">
        <v>959</v>
      </c>
      <c r="E181" s="958">
        <v>7000</v>
      </c>
    </row>
    <row r="182" spans="1:12" ht="17.25" customHeight="1" x14ac:dyDescent="0.35">
      <c r="A182" s="1403">
        <v>173</v>
      </c>
      <c r="C182" s="1414"/>
      <c r="D182" s="1721" t="s">
        <v>960</v>
      </c>
      <c r="E182" s="1572">
        <v>5000</v>
      </c>
    </row>
    <row r="183" spans="1:12" ht="18" customHeight="1" x14ac:dyDescent="0.35">
      <c r="A183" s="1403">
        <v>174</v>
      </c>
      <c r="C183" s="1414"/>
      <c r="D183" s="1721" t="s">
        <v>459</v>
      </c>
      <c r="E183" s="1572">
        <v>-11400</v>
      </c>
    </row>
    <row r="184" spans="1:12" ht="36.75" customHeight="1" x14ac:dyDescent="0.35">
      <c r="A184" s="1403">
        <v>175</v>
      </c>
      <c r="C184" s="1414"/>
      <c r="D184" s="1721" t="s">
        <v>470</v>
      </c>
      <c r="E184" s="958">
        <v>-10800</v>
      </c>
      <c r="F184" s="1414"/>
      <c r="G184" s="1414"/>
      <c r="H184" s="1414"/>
      <c r="I184" s="1414"/>
      <c r="J184" s="1414"/>
      <c r="K184" s="1414"/>
      <c r="L184" s="1414"/>
    </row>
    <row r="185" spans="1:12" ht="17.25" customHeight="1" x14ac:dyDescent="0.35">
      <c r="A185" s="1403">
        <v>176</v>
      </c>
      <c r="C185" s="1414"/>
      <c r="D185" s="1721" t="s">
        <v>994</v>
      </c>
      <c r="E185" s="1572">
        <v>4700</v>
      </c>
    </row>
    <row r="186" spans="1:12" ht="36.75" customHeight="1" x14ac:dyDescent="0.35">
      <c r="A186" s="1403">
        <v>177</v>
      </c>
      <c r="C186" s="1414"/>
      <c r="D186" s="1721" t="s">
        <v>995</v>
      </c>
      <c r="E186" s="1573">
        <v>4000</v>
      </c>
    </row>
    <row r="187" spans="1:12" ht="18" customHeight="1" x14ac:dyDescent="0.35">
      <c r="A187" s="1403">
        <v>178</v>
      </c>
      <c r="C187" s="1414"/>
      <c r="D187" s="1721" t="s">
        <v>1127</v>
      </c>
      <c r="E187" s="1573">
        <v>7700</v>
      </c>
    </row>
    <row r="188" spans="1:12" ht="18" customHeight="1" x14ac:dyDescent="0.35">
      <c r="A188" s="1403">
        <v>179</v>
      </c>
      <c r="C188" s="1414"/>
      <c r="D188" s="1721" t="s">
        <v>996</v>
      </c>
      <c r="E188" s="1573">
        <v>4600</v>
      </c>
    </row>
    <row r="189" spans="1:12" ht="18" customHeight="1" x14ac:dyDescent="0.35">
      <c r="A189" s="1403">
        <v>180</v>
      </c>
      <c r="C189" s="1414"/>
      <c r="D189" s="1721" t="s">
        <v>539</v>
      </c>
      <c r="E189" s="1573">
        <v>-1500</v>
      </c>
    </row>
    <row r="190" spans="1:12" ht="18" customHeight="1" x14ac:dyDescent="0.35">
      <c r="A190" s="1403">
        <v>181</v>
      </c>
      <c r="C190" s="1414"/>
      <c r="D190" s="1721" t="s">
        <v>1142</v>
      </c>
      <c r="E190" s="1573">
        <v>3875</v>
      </c>
    </row>
    <row r="191" spans="1:12" ht="18" customHeight="1" x14ac:dyDescent="0.35">
      <c r="A191" s="1403">
        <v>182</v>
      </c>
      <c r="C191" s="1414"/>
      <c r="D191" s="1721" t="s">
        <v>461</v>
      </c>
      <c r="E191" s="1573">
        <v>-1175</v>
      </c>
    </row>
    <row r="192" spans="1:12" ht="18" customHeight="1" x14ac:dyDescent="0.35">
      <c r="A192" s="1403">
        <v>183</v>
      </c>
      <c r="C192" s="1414"/>
      <c r="D192" s="1721" t="s">
        <v>1071</v>
      </c>
      <c r="E192" s="1573">
        <v>110</v>
      </c>
    </row>
    <row r="193" spans="1:5" ht="18" customHeight="1" x14ac:dyDescent="0.35">
      <c r="A193" s="1403">
        <v>184</v>
      </c>
      <c r="C193" s="1414"/>
      <c r="D193" s="1721" t="s">
        <v>1076</v>
      </c>
      <c r="E193" s="1573">
        <v>110</v>
      </c>
    </row>
    <row r="194" spans="1:5" ht="33" customHeight="1" x14ac:dyDescent="0.35">
      <c r="A194" s="1403">
        <v>185</v>
      </c>
      <c r="C194" s="1414"/>
      <c r="D194" s="1721" t="s">
        <v>694</v>
      </c>
      <c r="E194" s="1573">
        <v>-221</v>
      </c>
    </row>
    <row r="195" spans="1:5" ht="18" customHeight="1" x14ac:dyDescent="0.35">
      <c r="A195" s="1403">
        <v>186</v>
      </c>
      <c r="C195" s="1414"/>
      <c r="D195" s="1721" t="s">
        <v>1104</v>
      </c>
      <c r="E195" s="1574">
        <v>222000</v>
      </c>
    </row>
    <row r="196" spans="1:5" ht="18" customHeight="1" x14ac:dyDescent="0.35">
      <c r="A196" s="1403">
        <v>187</v>
      </c>
      <c r="C196" s="1414"/>
      <c r="D196" s="1575" t="s">
        <v>101</v>
      </c>
      <c r="E196" s="1576">
        <f>SUM(E177:E195)</f>
        <v>253799</v>
      </c>
    </row>
    <row r="197" spans="1:5" s="1407" customFormat="1" ht="18" customHeight="1" x14ac:dyDescent="0.3">
      <c r="A197" s="1403">
        <v>188</v>
      </c>
      <c r="C197" s="1577"/>
      <c r="D197" s="1549" t="s">
        <v>767</v>
      </c>
      <c r="E197" s="963">
        <f>E196</f>
        <v>253799</v>
      </c>
    </row>
    <row r="198" spans="1:5" ht="24.75" customHeight="1" x14ac:dyDescent="0.3">
      <c r="A198" s="1403">
        <v>189</v>
      </c>
      <c r="C198" s="1412"/>
      <c r="D198" s="1566" t="s">
        <v>768</v>
      </c>
      <c r="E198" s="974"/>
    </row>
    <row r="199" spans="1:5" ht="33.75" customHeight="1" x14ac:dyDescent="0.3">
      <c r="A199" s="1403">
        <v>190</v>
      </c>
      <c r="C199" s="1412"/>
      <c r="D199" s="1721" t="s">
        <v>1006</v>
      </c>
      <c r="E199" s="1573">
        <v>-39000</v>
      </c>
    </row>
    <row r="200" spans="1:5" ht="33" customHeight="1" x14ac:dyDescent="0.3">
      <c r="A200" s="1403">
        <v>191</v>
      </c>
      <c r="C200" s="1412"/>
      <c r="D200" s="1721" t="s">
        <v>1012</v>
      </c>
      <c r="E200" s="1573">
        <v>-10000</v>
      </c>
    </row>
    <row r="201" spans="1:5" ht="51" customHeight="1" x14ac:dyDescent="0.3">
      <c r="A201" s="1403">
        <v>192</v>
      </c>
      <c r="C201" s="1412"/>
      <c r="D201" s="1721" t="s">
        <v>1013</v>
      </c>
      <c r="E201" s="1557">
        <v>-1700</v>
      </c>
    </row>
    <row r="202" spans="1:5" ht="18" customHeight="1" x14ac:dyDescent="0.3">
      <c r="A202" s="1403">
        <v>193</v>
      </c>
      <c r="C202" s="1412"/>
      <c r="D202" s="1817" t="s">
        <v>1014</v>
      </c>
      <c r="E202" s="1557">
        <v>-47000</v>
      </c>
    </row>
    <row r="203" spans="1:5" ht="33.75" customHeight="1" x14ac:dyDescent="0.3">
      <c r="A203" s="1403">
        <v>194</v>
      </c>
      <c r="C203" s="1412"/>
      <c r="D203" s="1684" t="s">
        <v>1018</v>
      </c>
      <c r="E203" s="1557">
        <v>154283</v>
      </c>
    </row>
    <row r="204" spans="1:5" ht="18" customHeight="1" x14ac:dyDescent="0.3">
      <c r="A204" s="1403">
        <v>195</v>
      </c>
      <c r="C204" s="1412"/>
      <c r="D204" s="1409" t="s">
        <v>1019</v>
      </c>
      <c r="E204" s="1557">
        <f>84720+22874</f>
        <v>107594</v>
      </c>
    </row>
    <row r="205" spans="1:5" ht="32.25" customHeight="1" x14ac:dyDescent="0.3">
      <c r="A205" s="1403">
        <v>196</v>
      </c>
      <c r="C205" s="1412"/>
      <c r="D205" s="1684" t="s">
        <v>1020</v>
      </c>
      <c r="E205" s="1557">
        <v>687512</v>
      </c>
    </row>
    <row r="206" spans="1:5" ht="34.5" customHeight="1" x14ac:dyDescent="0.3">
      <c r="A206" s="1403">
        <v>197</v>
      </c>
      <c r="C206" s="1412"/>
      <c r="D206" s="1684" t="s">
        <v>1022</v>
      </c>
      <c r="E206" s="1557">
        <v>1415081</v>
      </c>
    </row>
    <row r="207" spans="1:5" ht="32.25" customHeight="1" x14ac:dyDescent="0.3">
      <c r="A207" s="1403">
        <v>198</v>
      </c>
      <c r="C207" s="1412"/>
      <c r="D207" s="1684" t="s">
        <v>1023</v>
      </c>
      <c r="E207" s="1557">
        <v>123083</v>
      </c>
    </row>
    <row r="208" spans="1:5" ht="33" customHeight="1" x14ac:dyDescent="0.3">
      <c r="A208" s="1403">
        <v>199</v>
      </c>
      <c r="C208" s="1412"/>
      <c r="D208" s="1684" t="s">
        <v>1024</v>
      </c>
      <c r="E208" s="1557">
        <v>255451</v>
      </c>
    </row>
    <row r="209" spans="1:256" ht="35.25" customHeight="1" x14ac:dyDescent="0.3">
      <c r="A209" s="1403">
        <v>200</v>
      </c>
      <c r="C209" s="1412"/>
      <c r="D209" s="1684" t="s">
        <v>1025</v>
      </c>
      <c r="E209" s="1557">
        <v>224112</v>
      </c>
    </row>
    <row r="210" spans="1:256" ht="35.25" customHeight="1" x14ac:dyDescent="0.3">
      <c r="A210" s="1403">
        <v>201</v>
      </c>
      <c r="C210" s="1412"/>
      <c r="D210" s="1684" t="s">
        <v>1026</v>
      </c>
      <c r="E210" s="1557">
        <v>89059</v>
      </c>
    </row>
    <row r="211" spans="1:256" ht="33.75" customHeight="1" x14ac:dyDescent="0.3">
      <c r="A211" s="1403">
        <v>202</v>
      </c>
      <c r="C211" s="1412"/>
      <c r="D211" s="1684" t="s">
        <v>1028</v>
      </c>
      <c r="E211" s="1557">
        <v>494190</v>
      </c>
    </row>
    <row r="212" spans="1:256" ht="33" customHeight="1" x14ac:dyDescent="0.3">
      <c r="A212" s="1403">
        <v>203</v>
      </c>
      <c r="C212" s="1412"/>
      <c r="D212" s="1684" t="s">
        <v>1030</v>
      </c>
      <c r="E212" s="1557">
        <v>291361</v>
      </c>
    </row>
    <row r="213" spans="1:256" ht="18" customHeight="1" x14ac:dyDescent="0.35">
      <c r="A213" s="1403">
        <v>204</v>
      </c>
      <c r="C213" s="1414"/>
      <c r="D213" s="1567" t="s">
        <v>101</v>
      </c>
      <c r="E213" s="1578">
        <f>SUM(E199:E212)</f>
        <v>3744026</v>
      </c>
    </row>
    <row r="214" spans="1:256" ht="18" customHeight="1" thickBot="1" x14ac:dyDescent="0.35">
      <c r="A214" s="1403">
        <v>205</v>
      </c>
      <c r="B214" s="1579"/>
      <c r="C214" s="1579"/>
      <c r="D214" s="1580" t="s">
        <v>769</v>
      </c>
      <c r="E214" s="1581">
        <f>E197+E213</f>
        <v>3997825</v>
      </c>
      <c r="F214" s="1417"/>
      <c r="G214" s="1417"/>
      <c r="H214" s="1417"/>
      <c r="I214" s="1417"/>
      <c r="J214" s="1417"/>
      <c r="K214" s="1417"/>
      <c r="L214" s="1418"/>
      <c r="M214" s="1417"/>
      <c r="N214" s="1417"/>
      <c r="O214" s="1417"/>
      <c r="P214" s="1417"/>
      <c r="Q214" s="1417"/>
      <c r="R214" s="1417"/>
      <c r="S214" s="1417"/>
      <c r="T214" s="1417"/>
      <c r="U214" s="1417"/>
      <c r="V214" s="1417"/>
      <c r="W214" s="1417"/>
      <c r="X214" s="1417"/>
      <c r="Y214" s="1417"/>
      <c r="Z214" s="1417"/>
      <c r="AA214" s="1417"/>
      <c r="AB214" s="1417"/>
      <c r="AC214" s="1417"/>
      <c r="AD214" s="1417"/>
      <c r="AE214" s="1417"/>
      <c r="AF214" s="1417"/>
      <c r="AG214" s="1417"/>
      <c r="AH214" s="1417"/>
      <c r="AI214" s="1417"/>
      <c r="AJ214" s="1417"/>
      <c r="AK214" s="1417"/>
      <c r="AL214" s="1417"/>
      <c r="AM214" s="1417"/>
      <c r="AN214" s="1417"/>
      <c r="AO214" s="1417"/>
      <c r="AP214" s="1417"/>
      <c r="AQ214" s="1417"/>
      <c r="AR214" s="1417"/>
      <c r="AS214" s="1417"/>
      <c r="AT214" s="1417"/>
      <c r="AU214" s="1417"/>
      <c r="AV214" s="1417"/>
      <c r="AW214" s="1417"/>
      <c r="AX214" s="1417"/>
      <c r="AY214" s="1417"/>
      <c r="AZ214" s="1417"/>
      <c r="BA214" s="1417"/>
      <c r="BB214" s="1417"/>
      <c r="BC214" s="1417"/>
      <c r="BD214" s="1417"/>
      <c r="BE214" s="1417"/>
      <c r="BF214" s="1417"/>
      <c r="BG214" s="1417"/>
      <c r="BH214" s="1417"/>
      <c r="BI214" s="1417"/>
      <c r="BJ214" s="1417"/>
      <c r="BK214" s="1417"/>
      <c r="BL214" s="1417"/>
      <c r="BM214" s="1417"/>
      <c r="BN214" s="1417"/>
      <c r="BO214" s="1417"/>
      <c r="BP214" s="1417"/>
      <c r="BQ214" s="1417"/>
      <c r="BR214" s="1417"/>
      <c r="BS214" s="1417"/>
      <c r="BT214" s="1417"/>
      <c r="BU214" s="1417"/>
      <c r="BV214" s="1417"/>
      <c r="BW214" s="1417"/>
      <c r="BX214" s="1417"/>
      <c r="BY214" s="1417"/>
      <c r="BZ214" s="1417"/>
      <c r="CA214" s="1417"/>
      <c r="CB214" s="1417"/>
      <c r="CC214" s="1417"/>
      <c r="CD214" s="1417"/>
      <c r="CE214" s="1417"/>
      <c r="CF214" s="1417"/>
      <c r="CG214" s="1417"/>
      <c r="CH214" s="1417"/>
      <c r="CI214" s="1417"/>
      <c r="CJ214" s="1417"/>
      <c r="CK214" s="1417"/>
      <c r="CL214" s="1417"/>
      <c r="CM214" s="1417"/>
      <c r="CN214" s="1417"/>
      <c r="CO214" s="1417"/>
      <c r="CP214" s="1417"/>
      <c r="CQ214" s="1417"/>
      <c r="CR214" s="1417"/>
      <c r="CS214" s="1417"/>
      <c r="CT214" s="1417"/>
      <c r="CU214" s="1417"/>
      <c r="CV214" s="1417"/>
      <c r="CW214" s="1417"/>
      <c r="CX214" s="1417"/>
      <c r="CY214" s="1417"/>
      <c r="CZ214" s="1417"/>
      <c r="DA214" s="1417"/>
      <c r="DB214" s="1417"/>
      <c r="DC214" s="1417"/>
      <c r="DD214" s="1417"/>
      <c r="DE214" s="1417"/>
      <c r="DF214" s="1417"/>
      <c r="DG214" s="1417"/>
      <c r="DH214" s="1417"/>
      <c r="DI214" s="1417"/>
      <c r="DJ214" s="1417"/>
      <c r="DK214" s="1417"/>
      <c r="DL214" s="1417"/>
      <c r="DM214" s="1417"/>
      <c r="DN214" s="1417"/>
      <c r="DO214" s="1417"/>
      <c r="DP214" s="1417"/>
      <c r="DQ214" s="1417"/>
      <c r="DR214" s="1417"/>
      <c r="DS214" s="1417"/>
      <c r="DT214" s="1417"/>
      <c r="DU214" s="1417"/>
      <c r="DV214" s="1417"/>
      <c r="DW214" s="1417"/>
      <c r="DX214" s="1417"/>
      <c r="DY214" s="1417"/>
      <c r="DZ214" s="1417"/>
      <c r="EA214" s="1417"/>
      <c r="EB214" s="1417"/>
      <c r="EC214" s="1417"/>
      <c r="ED214" s="1417"/>
      <c r="EE214" s="1417"/>
      <c r="EF214" s="1417"/>
      <c r="EG214" s="1417"/>
      <c r="EH214" s="1417"/>
      <c r="EI214" s="1417"/>
      <c r="EJ214" s="1417"/>
      <c r="EK214" s="1417"/>
      <c r="EL214" s="1417"/>
      <c r="EM214" s="1417"/>
      <c r="EN214" s="1417"/>
      <c r="EO214" s="1417"/>
      <c r="EP214" s="1417"/>
      <c r="EQ214" s="1417"/>
      <c r="ER214" s="1417"/>
      <c r="ES214" s="1417"/>
      <c r="ET214" s="1417"/>
      <c r="EU214" s="1417"/>
      <c r="EV214" s="1417"/>
      <c r="EW214" s="1417"/>
      <c r="EX214" s="1417"/>
      <c r="EY214" s="1417"/>
      <c r="EZ214" s="1417"/>
      <c r="FA214" s="1417"/>
      <c r="FB214" s="1417"/>
      <c r="FC214" s="1417"/>
      <c r="FD214" s="1417"/>
      <c r="FE214" s="1417"/>
      <c r="FF214" s="1417"/>
      <c r="FG214" s="1417"/>
      <c r="FH214" s="1417"/>
      <c r="FI214" s="1417"/>
      <c r="FJ214" s="1417"/>
      <c r="FK214" s="1417"/>
      <c r="FL214" s="1417"/>
      <c r="FM214" s="1417"/>
      <c r="FN214" s="1417"/>
      <c r="FO214" s="1417"/>
      <c r="FP214" s="1417"/>
      <c r="FQ214" s="1417"/>
      <c r="FR214" s="1417"/>
      <c r="FS214" s="1417"/>
      <c r="FT214" s="1417"/>
      <c r="FU214" s="1417"/>
      <c r="FV214" s="1417"/>
      <c r="FW214" s="1417"/>
      <c r="FX214" s="1417"/>
      <c r="FY214" s="1417"/>
      <c r="FZ214" s="1417"/>
      <c r="GA214" s="1417"/>
      <c r="GB214" s="1417"/>
      <c r="GC214" s="1417"/>
      <c r="GD214" s="1417"/>
      <c r="GE214" s="1417"/>
      <c r="GF214" s="1417"/>
      <c r="GG214" s="1417"/>
      <c r="GH214" s="1417"/>
      <c r="GI214" s="1417"/>
      <c r="GJ214" s="1417"/>
      <c r="GK214" s="1417"/>
      <c r="GL214" s="1417"/>
      <c r="GM214" s="1417"/>
      <c r="GN214" s="1417"/>
      <c r="GO214" s="1417"/>
      <c r="GP214" s="1417"/>
      <c r="GQ214" s="1417"/>
      <c r="GR214" s="1417"/>
      <c r="GS214" s="1417"/>
      <c r="GT214" s="1417"/>
      <c r="GU214" s="1417"/>
      <c r="GV214" s="1417"/>
      <c r="GW214" s="1417"/>
      <c r="GX214" s="1417"/>
      <c r="GY214" s="1417"/>
      <c r="GZ214" s="1417"/>
      <c r="HA214" s="1417"/>
      <c r="HB214" s="1417"/>
      <c r="HC214" s="1417"/>
      <c r="HD214" s="1417"/>
      <c r="HE214" s="1417"/>
      <c r="HF214" s="1417"/>
      <c r="HG214" s="1417"/>
      <c r="HH214" s="1417"/>
      <c r="HI214" s="1417"/>
      <c r="HJ214" s="1417"/>
      <c r="HK214" s="1417"/>
      <c r="HL214" s="1417"/>
      <c r="HM214" s="1417"/>
      <c r="HN214" s="1417"/>
      <c r="HO214" s="1417"/>
      <c r="HP214" s="1417"/>
      <c r="HQ214" s="1417"/>
      <c r="HR214" s="1417"/>
      <c r="HS214" s="1417"/>
      <c r="HT214" s="1417"/>
      <c r="HU214" s="1417"/>
      <c r="HV214" s="1417"/>
      <c r="HW214" s="1417"/>
      <c r="HX214" s="1417"/>
      <c r="HY214" s="1417"/>
      <c r="HZ214" s="1417"/>
      <c r="IA214" s="1417"/>
      <c r="IB214" s="1417"/>
      <c r="IC214" s="1417"/>
      <c r="ID214" s="1417"/>
      <c r="IE214" s="1417"/>
      <c r="IF214" s="1417"/>
      <c r="IG214" s="1417"/>
      <c r="IH214" s="1417"/>
      <c r="II214" s="1417"/>
      <c r="IJ214" s="1417"/>
      <c r="IK214" s="1417"/>
      <c r="IL214" s="1417"/>
      <c r="IM214" s="1417"/>
      <c r="IN214" s="1417"/>
      <c r="IO214" s="1417"/>
      <c r="IP214" s="1417"/>
      <c r="IQ214" s="1417"/>
      <c r="IR214" s="1417"/>
      <c r="IS214" s="1417"/>
      <c r="IT214" s="1417"/>
      <c r="IU214" s="1417"/>
      <c r="IV214" s="1417"/>
    </row>
    <row r="215" spans="1:256" ht="24.75" customHeight="1" thickTop="1" x14ac:dyDescent="0.3">
      <c r="A215" s="1403">
        <v>206</v>
      </c>
      <c r="B215" s="1417"/>
      <c r="C215" s="1417"/>
      <c r="D215" s="1559" t="s">
        <v>770</v>
      </c>
      <c r="E215" s="1582"/>
      <c r="F215" s="1417"/>
      <c r="G215" s="1417"/>
      <c r="H215" s="1417"/>
      <c r="I215" s="1417"/>
      <c r="J215" s="1417"/>
      <c r="K215" s="1417"/>
      <c r="L215" s="1418"/>
      <c r="M215" s="1417"/>
      <c r="N215" s="1417"/>
      <c r="O215" s="1417"/>
      <c r="P215" s="1417"/>
      <c r="Q215" s="1417"/>
      <c r="R215" s="1417"/>
      <c r="S215" s="1417"/>
      <c r="T215" s="1417"/>
      <c r="U215" s="1417"/>
      <c r="V215" s="1417"/>
      <c r="W215" s="1417"/>
      <c r="X215" s="1417"/>
      <c r="Y215" s="1417"/>
      <c r="Z215" s="1417"/>
      <c r="AA215" s="1417"/>
      <c r="AB215" s="1417"/>
      <c r="AC215" s="1417"/>
      <c r="AD215" s="1417"/>
      <c r="AE215" s="1417"/>
      <c r="AF215" s="1417"/>
      <c r="AG215" s="1417"/>
      <c r="AH215" s="1417"/>
      <c r="AI215" s="1417"/>
      <c r="AJ215" s="1417"/>
      <c r="AK215" s="1417"/>
      <c r="AL215" s="1417"/>
      <c r="AM215" s="1417"/>
      <c r="AN215" s="1417"/>
      <c r="AO215" s="1417"/>
      <c r="AP215" s="1417"/>
      <c r="AQ215" s="1417"/>
      <c r="AR215" s="1417"/>
      <c r="AS215" s="1417"/>
      <c r="AT215" s="1417"/>
      <c r="AU215" s="1417"/>
      <c r="AV215" s="1417"/>
      <c r="AW215" s="1417"/>
      <c r="AX215" s="1417"/>
      <c r="AY215" s="1417"/>
      <c r="AZ215" s="1417"/>
      <c r="BA215" s="1417"/>
      <c r="BB215" s="1417"/>
      <c r="BC215" s="1417"/>
      <c r="BD215" s="1417"/>
      <c r="BE215" s="1417"/>
      <c r="BF215" s="1417"/>
      <c r="BG215" s="1417"/>
      <c r="BH215" s="1417"/>
      <c r="BI215" s="1417"/>
      <c r="BJ215" s="1417"/>
      <c r="BK215" s="1417"/>
      <c r="BL215" s="1417"/>
      <c r="BM215" s="1417"/>
      <c r="BN215" s="1417"/>
      <c r="BO215" s="1417"/>
      <c r="BP215" s="1417"/>
      <c r="BQ215" s="1417"/>
      <c r="BR215" s="1417"/>
      <c r="BS215" s="1417"/>
      <c r="BT215" s="1417"/>
      <c r="BU215" s="1417"/>
      <c r="BV215" s="1417"/>
      <c r="BW215" s="1417"/>
      <c r="BX215" s="1417"/>
      <c r="BY215" s="1417"/>
      <c r="BZ215" s="1417"/>
      <c r="CA215" s="1417"/>
      <c r="CB215" s="1417"/>
      <c r="CC215" s="1417"/>
      <c r="CD215" s="1417"/>
      <c r="CE215" s="1417"/>
      <c r="CF215" s="1417"/>
      <c r="CG215" s="1417"/>
      <c r="CH215" s="1417"/>
      <c r="CI215" s="1417"/>
      <c r="CJ215" s="1417"/>
      <c r="CK215" s="1417"/>
      <c r="CL215" s="1417"/>
      <c r="CM215" s="1417"/>
      <c r="CN215" s="1417"/>
      <c r="CO215" s="1417"/>
      <c r="CP215" s="1417"/>
      <c r="CQ215" s="1417"/>
      <c r="CR215" s="1417"/>
      <c r="CS215" s="1417"/>
      <c r="CT215" s="1417"/>
      <c r="CU215" s="1417"/>
      <c r="CV215" s="1417"/>
      <c r="CW215" s="1417"/>
      <c r="CX215" s="1417"/>
      <c r="CY215" s="1417"/>
      <c r="CZ215" s="1417"/>
      <c r="DA215" s="1417"/>
      <c r="DB215" s="1417"/>
      <c r="DC215" s="1417"/>
      <c r="DD215" s="1417"/>
      <c r="DE215" s="1417"/>
      <c r="DF215" s="1417"/>
      <c r="DG215" s="1417"/>
      <c r="DH215" s="1417"/>
      <c r="DI215" s="1417"/>
      <c r="DJ215" s="1417"/>
      <c r="DK215" s="1417"/>
      <c r="DL215" s="1417"/>
      <c r="DM215" s="1417"/>
      <c r="DN215" s="1417"/>
      <c r="DO215" s="1417"/>
      <c r="DP215" s="1417"/>
      <c r="DQ215" s="1417"/>
      <c r="DR215" s="1417"/>
      <c r="DS215" s="1417"/>
      <c r="DT215" s="1417"/>
      <c r="DU215" s="1417"/>
      <c r="DV215" s="1417"/>
      <c r="DW215" s="1417"/>
      <c r="DX215" s="1417"/>
      <c r="DY215" s="1417"/>
      <c r="DZ215" s="1417"/>
      <c r="EA215" s="1417"/>
      <c r="EB215" s="1417"/>
      <c r="EC215" s="1417"/>
      <c r="ED215" s="1417"/>
      <c r="EE215" s="1417"/>
      <c r="EF215" s="1417"/>
      <c r="EG215" s="1417"/>
      <c r="EH215" s="1417"/>
      <c r="EI215" s="1417"/>
      <c r="EJ215" s="1417"/>
      <c r="EK215" s="1417"/>
      <c r="EL215" s="1417"/>
      <c r="EM215" s="1417"/>
      <c r="EN215" s="1417"/>
      <c r="EO215" s="1417"/>
      <c r="EP215" s="1417"/>
      <c r="EQ215" s="1417"/>
      <c r="ER215" s="1417"/>
      <c r="ES215" s="1417"/>
      <c r="ET215" s="1417"/>
      <c r="EU215" s="1417"/>
      <c r="EV215" s="1417"/>
      <c r="EW215" s="1417"/>
      <c r="EX215" s="1417"/>
      <c r="EY215" s="1417"/>
      <c r="EZ215" s="1417"/>
      <c r="FA215" s="1417"/>
      <c r="FB215" s="1417"/>
      <c r="FC215" s="1417"/>
      <c r="FD215" s="1417"/>
      <c r="FE215" s="1417"/>
      <c r="FF215" s="1417"/>
      <c r="FG215" s="1417"/>
      <c r="FH215" s="1417"/>
      <c r="FI215" s="1417"/>
      <c r="FJ215" s="1417"/>
      <c r="FK215" s="1417"/>
      <c r="FL215" s="1417"/>
      <c r="FM215" s="1417"/>
      <c r="FN215" s="1417"/>
      <c r="FO215" s="1417"/>
      <c r="FP215" s="1417"/>
      <c r="FQ215" s="1417"/>
      <c r="FR215" s="1417"/>
      <c r="FS215" s="1417"/>
      <c r="FT215" s="1417"/>
      <c r="FU215" s="1417"/>
      <c r="FV215" s="1417"/>
      <c r="FW215" s="1417"/>
      <c r="FX215" s="1417"/>
      <c r="FY215" s="1417"/>
      <c r="FZ215" s="1417"/>
      <c r="GA215" s="1417"/>
      <c r="GB215" s="1417"/>
      <c r="GC215" s="1417"/>
      <c r="GD215" s="1417"/>
      <c r="GE215" s="1417"/>
      <c r="GF215" s="1417"/>
      <c r="GG215" s="1417"/>
      <c r="GH215" s="1417"/>
      <c r="GI215" s="1417"/>
      <c r="GJ215" s="1417"/>
      <c r="GK215" s="1417"/>
      <c r="GL215" s="1417"/>
      <c r="GM215" s="1417"/>
      <c r="GN215" s="1417"/>
      <c r="GO215" s="1417"/>
      <c r="GP215" s="1417"/>
      <c r="GQ215" s="1417"/>
      <c r="GR215" s="1417"/>
      <c r="GS215" s="1417"/>
      <c r="GT215" s="1417"/>
      <c r="GU215" s="1417"/>
      <c r="GV215" s="1417"/>
      <c r="GW215" s="1417"/>
      <c r="GX215" s="1417"/>
      <c r="GY215" s="1417"/>
      <c r="GZ215" s="1417"/>
      <c r="HA215" s="1417"/>
      <c r="HB215" s="1417"/>
      <c r="HC215" s="1417"/>
      <c r="HD215" s="1417"/>
      <c r="HE215" s="1417"/>
      <c r="HF215" s="1417"/>
      <c r="HG215" s="1417"/>
      <c r="HH215" s="1417"/>
      <c r="HI215" s="1417"/>
      <c r="HJ215" s="1417"/>
      <c r="HK215" s="1417"/>
      <c r="HL215" s="1417"/>
      <c r="HM215" s="1417"/>
      <c r="HN215" s="1417"/>
      <c r="HO215" s="1417"/>
      <c r="HP215" s="1417"/>
      <c r="HQ215" s="1417"/>
      <c r="HR215" s="1417"/>
      <c r="HS215" s="1417"/>
      <c r="HT215" s="1417"/>
      <c r="HU215" s="1417"/>
      <c r="HV215" s="1417"/>
      <c r="HW215" s="1417"/>
      <c r="HX215" s="1417"/>
      <c r="HY215" s="1417"/>
      <c r="HZ215" s="1417"/>
      <c r="IA215" s="1417"/>
      <c r="IB215" s="1417"/>
      <c r="IC215" s="1417"/>
      <c r="ID215" s="1417"/>
      <c r="IE215" s="1417"/>
      <c r="IF215" s="1417"/>
      <c r="IG215" s="1417"/>
      <c r="IH215" s="1417"/>
      <c r="II215" s="1417"/>
      <c r="IJ215" s="1417"/>
      <c r="IK215" s="1417"/>
      <c r="IL215" s="1417"/>
      <c r="IM215" s="1417"/>
      <c r="IN215" s="1417"/>
      <c r="IO215" s="1417"/>
      <c r="IP215" s="1417"/>
      <c r="IQ215" s="1417"/>
      <c r="IR215" s="1417"/>
      <c r="IS215" s="1417"/>
      <c r="IT215" s="1417"/>
      <c r="IU215" s="1417"/>
      <c r="IV215" s="1417"/>
    </row>
    <row r="216" spans="1:256" ht="24.75" customHeight="1" x14ac:dyDescent="0.3">
      <c r="A216" s="1403">
        <v>207</v>
      </c>
      <c r="B216" s="1417"/>
      <c r="C216" s="1417"/>
      <c r="D216" s="1566" t="s">
        <v>760</v>
      </c>
      <c r="E216" s="1582"/>
      <c r="F216" s="1417"/>
      <c r="G216" s="1417"/>
      <c r="H216" s="1417"/>
      <c r="I216" s="1417"/>
      <c r="J216" s="1417"/>
      <c r="K216" s="1417"/>
      <c r="L216" s="1418"/>
      <c r="M216" s="1417"/>
      <c r="N216" s="1417"/>
      <c r="O216" s="1417"/>
      <c r="P216" s="1417"/>
      <c r="Q216" s="1417"/>
      <c r="R216" s="1417"/>
      <c r="S216" s="1417"/>
      <c r="T216" s="1417"/>
      <c r="U216" s="1417"/>
      <c r="V216" s="1417"/>
      <c r="W216" s="1417"/>
      <c r="X216" s="1417"/>
      <c r="Y216" s="1417"/>
      <c r="Z216" s="1417"/>
      <c r="AA216" s="1417"/>
      <c r="AB216" s="1417"/>
      <c r="AC216" s="1417"/>
      <c r="AD216" s="1417"/>
      <c r="AE216" s="1417"/>
      <c r="AF216" s="1417"/>
      <c r="AG216" s="1417"/>
      <c r="AH216" s="1417"/>
      <c r="AI216" s="1417"/>
      <c r="AJ216" s="1417"/>
      <c r="AK216" s="1417"/>
      <c r="AL216" s="1417"/>
      <c r="AM216" s="1417"/>
      <c r="AN216" s="1417"/>
      <c r="AO216" s="1417"/>
      <c r="AP216" s="1417"/>
      <c r="AQ216" s="1417"/>
      <c r="AR216" s="1417"/>
      <c r="AS216" s="1417"/>
      <c r="AT216" s="1417"/>
      <c r="AU216" s="1417"/>
      <c r="AV216" s="1417"/>
      <c r="AW216" s="1417"/>
      <c r="AX216" s="1417"/>
      <c r="AY216" s="1417"/>
      <c r="AZ216" s="1417"/>
      <c r="BA216" s="1417"/>
      <c r="BB216" s="1417"/>
      <c r="BC216" s="1417"/>
      <c r="BD216" s="1417"/>
      <c r="BE216" s="1417"/>
      <c r="BF216" s="1417"/>
      <c r="BG216" s="1417"/>
      <c r="BH216" s="1417"/>
      <c r="BI216" s="1417"/>
      <c r="BJ216" s="1417"/>
      <c r="BK216" s="1417"/>
      <c r="BL216" s="1417"/>
      <c r="BM216" s="1417"/>
      <c r="BN216" s="1417"/>
      <c r="BO216" s="1417"/>
      <c r="BP216" s="1417"/>
      <c r="BQ216" s="1417"/>
      <c r="BR216" s="1417"/>
      <c r="BS216" s="1417"/>
      <c r="BT216" s="1417"/>
      <c r="BU216" s="1417"/>
      <c r="BV216" s="1417"/>
      <c r="BW216" s="1417"/>
      <c r="BX216" s="1417"/>
      <c r="BY216" s="1417"/>
      <c r="BZ216" s="1417"/>
      <c r="CA216" s="1417"/>
      <c r="CB216" s="1417"/>
      <c r="CC216" s="1417"/>
      <c r="CD216" s="1417"/>
      <c r="CE216" s="1417"/>
      <c r="CF216" s="1417"/>
      <c r="CG216" s="1417"/>
      <c r="CH216" s="1417"/>
      <c r="CI216" s="1417"/>
      <c r="CJ216" s="1417"/>
      <c r="CK216" s="1417"/>
      <c r="CL216" s="1417"/>
      <c r="CM216" s="1417"/>
      <c r="CN216" s="1417"/>
      <c r="CO216" s="1417"/>
      <c r="CP216" s="1417"/>
      <c r="CQ216" s="1417"/>
      <c r="CR216" s="1417"/>
      <c r="CS216" s="1417"/>
      <c r="CT216" s="1417"/>
      <c r="CU216" s="1417"/>
      <c r="CV216" s="1417"/>
      <c r="CW216" s="1417"/>
      <c r="CX216" s="1417"/>
      <c r="CY216" s="1417"/>
      <c r="CZ216" s="1417"/>
      <c r="DA216" s="1417"/>
      <c r="DB216" s="1417"/>
      <c r="DC216" s="1417"/>
      <c r="DD216" s="1417"/>
      <c r="DE216" s="1417"/>
      <c r="DF216" s="1417"/>
      <c r="DG216" s="1417"/>
      <c r="DH216" s="1417"/>
      <c r="DI216" s="1417"/>
      <c r="DJ216" s="1417"/>
      <c r="DK216" s="1417"/>
      <c r="DL216" s="1417"/>
      <c r="DM216" s="1417"/>
      <c r="DN216" s="1417"/>
      <c r="DO216" s="1417"/>
      <c r="DP216" s="1417"/>
      <c r="DQ216" s="1417"/>
      <c r="DR216" s="1417"/>
      <c r="DS216" s="1417"/>
      <c r="DT216" s="1417"/>
      <c r="DU216" s="1417"/>
      <c r="DV216" s="1417"/>
      <c r="DW216" s="1417"/>
      <c r="DX216" s="1417"/>
      <c r="DY216" s="1417"/>
      <c r="DZ216" s="1417"/>
      <c r="EA216" s="1417"/>
      <c r="EB216" s="1417"/>
      <c r="EC216" s="1417"/>
      <c r="ED216" s="1417"/>
      <c r="EE216" s="1417"/>
      <c r="EF216" s="1417"/>
      <c r="EG216" s="1417"/>
      <c r="EH216" s="1417"/>
      <c r="EI216" s="1417"/>
      <c r="EJ216" s="1417"/>
      <c r="EK216" s="1417"/>
      <c r="EL216" s="1417"/>
      <c r="EM216" s="1417"/>
      <c r="EN216" s="1417"/>
      <c r="EO216" s="1417"/>
      <c r="EP216" s="1417"/>
      <c r="EQ216" s="1417"/>
      <c r="ER216" s="1417"/>
      <c r="ES216" s="1417"/>
      <c r="ET216" s="1417"/>
      <c r="EU216" s="1417"/>
      <c r="EV216" s="1417"/>
      <c r="EW216" s="1417"/>
      <c r="EX216" s="1417"/>
      <c r="EY216" s="1417"/>
      <c r="EZ216" s="1417"/>
      <c r="FA216" s="1417"/>
      <c r="FB216" s="1417"/>
      <c r="FC216" s="1417"/>
      <c r="FD216" s="1417"/>
      <c r="FE216" s="1417"/>
      <c r="FF216" s="1417"/>
      <c r="FG216" s="1417"/>
      <c r="FH216" s="1417"/>
      <c r="FI216" s="1417"/>
      <c r="FJ216" s="1417"/>
      <c r="FK216" s="1417"/>
      <c r="FL216" s="1417"/>
      <c r="FM216" s="1417"/>
      <c r="FN216" s="1417"/>
      <c r="FO216" s="1417"/>
      <c r="FP216" s="1417"/>
      <c r="FQ216" s="1417"/>
      <c r="FR216" s="1417"/>
      <c r="FS216" s="1417"/>
      <c r="FT216" s="1417"/>
      <c r="FU216" s="1417"/>
      <c r="FV216" s="1417"/>
      <c r="FW216" s="1417"/>
      <c r="FX216" s="1417"/>
      <c r="FY216" s="1417"/>
      <c r="FZ216" s="1417"/>
      <c r="GA216" s="1417"/>
      <c r="GB216" s="1417"/>
      <c r="GC216" s="1417"/>
      <c r="GD216" s="1417"/>
      <c r="GE216" s="1417"/>
      <c r="GF216" s="1417"/>
      <c r="GG216" s="1417"/>
      <c r="GH216" s="1417"/>
      <c r="GI216" s="1417"/>
      <c r="GJ216" s="1417"/>
      <c r="GK216" s="1417"/>
      <c r="GL216" s="1417"/>
      <c r="GM216" s="1417"/>
      <c r="GN216" s="1417"/>
      <c r="GO216" s="1417"/>
      <c r="GP216" s="1417"/>
      <c r="GQ216" s="1417"/>
      <c r="GR216" s="1417"/>
      <c r="GS216" s="1417"/>
      <c r="GT216" s="1417"/>
      <c r="GU216" s="1417"/>
      <c r="GV216" s="1417"/>
      <c r="GW216" s="1417"/>
      <c r="GX216" s="1417"/>
      <c r="GY216" s="1417"/>
      <c r="GZ216" s="1417"/>
      <c r="HA216" s="1417"/>
      <c r="HB216" s="1417"/>
      <c r="HC216" s="1417"/>
      <c r="HD216" s="1417"/>
      <c r="HE216" s="1417"/>
      <c r="HF216" s="1417"/>
      <c r="HG216" s="1417"/>
      <c r="HH216" s="1417"/>
      <c r="HI216" s="1417"/>
      <c r="HJ216" s="1417"/>
      <c r="HK216" s="1417"/>
      <c r="HL216" s="1417"/>
      <c r="HM216" s="1417"/>
      <c r="HN216" s="1417"/>
      <c r="HO216" s="1417"/>
      <c r="HP216" s="1417"/>
      <c r="HQ216" s="1417"/>
      <c r="HR216" s="1417"/>
      <c r="HS216" s="1417"/>
      <c r="HT216" s="1417"/>
      <c r="HU216" s="1417"/>
      <c r="HV216" s="1417"/>
      <c r="HW216" s="1417"/>
      <c r="HX216" s="1417"/>
      <c r="HY216" s="1417"/>
      <c r="HZ216" s="1417"/>
      <c r="IA216" s="1417"/>
      <c r="IB216" s="1417"/>
      <c r="IC216" s="1417"/>
      <c r="ID216" s="1417"/>
      <c r="IE216" s="1417"/>
      <c r="IF216" s="1417"/>
      <c r="IG216" s="1417"/>
      <c r="IH216" s="1417"/>
      <c r="II216" s="1417"/>
      <c r="IJ216" s="1417"/>
      <c r="IK216" s="1417"/>
      <c r="IL216" s="1417"/>
      <c r="IM216" s="1417"/>
      <c r="IN216" s="1417"/>
      <c r="IO216" s="1417"/>
      <c r="IP216" s="1417"/>
      <c r="IQ216" s="1417"/>
      <c r="IR216" s="1417"/>
      <c r="IS216" s="1417"/>
      <c r="IT216" s="1417"/>
      <c r="IU216" s="1417"/>
      <c r="IV216" s="1417"/>
    </row>
    <row r="217" spans="1:256" ht="18" customHeight="1" x14ac:dyDescent="0.3">
      <c r="A217" s="1403">
        <v>208</v>
      </c>
      <c r="B217" s="1417"/>
      <c r="C217" s="1417"/>
      <c r="D217" s="1721" t="s">
        <v>418</v>
      </c>
      <c r="E217" s="1583">
        <v>-20</v>
      </c>
      <c r="F217" s="1417"/>
      <c r="G217" s="1417"/>
      <c r="H217" s="1417"/>
      <c r="I217" s="1417"/>
      <c r="J217" s="1417"/>
      <c r="K217" s="1417"/>
      <c r="L217" s="1418"/>
      <c r="M217" s="1417"/>
      <c r="N217" s="1417"/>
      <c r="O217" s="1417"/>
      <c r="P217" s="1417"/>
      <c r="Q217" s="1417"/>
      <c r="R217" s="1417"/>
      <c r="S217" s="1417"/>
      <c r="T217" s="1417"/>
      <c r="U217" s="1417"/>
      <c r="V217" s="1417"/>
      <c r="W217" s="1417"/>
      <c r="X217" s="1417"/>
      <c r="Y217" s="1417"/>
      <c r="Z217" s="1417"/>
      <c r="AA217" s="1417"/>
      <c r="AB217" s="1417"/>
      <c r="AC217" s="1417"/>
      <c r="AD217" s="1417"/>
      <c r="AE217" s="1417"/>
      <c r="AF217" s="1417"/>
      <c r="AG217" s="1417"/>
      <c r="AH217" s="1417"/>
      <c r="AI217" s="1417"/>
      <c r="AJ217" s="1417"/>
      <c r="AK217" s="1417"/>
      <c r="AL217" s="1417"/>
      <c r="AM217" s="1417"/>
      <c r="AN217" s="1417"/>
      <c r="AO217" s="1417"/>
      <c r="AP217" s="1417"/>
      <c r="AQ217" s="1417"/>
      <c r="AR217" s="1417"/>
      <c r="AS217" s="1417"/>
      <c r="AT217" s="1417"/>
      <c r="AU217" s="1417"/>
      <c r="AV217" s="1417"/>
      <c r="AW217" s="1417"/>
      <c r="AX217" s="1417"/>
      <c r="AY217" s="1417"/>
      <c r="AZ217" s="1417"/>
      <c r="BA217" s="1417"/>
      <c r="BB217" s="1417"/>
      <c r="BC217" s="1417"/>
      <c r="BD217" s="1417"/>
      <c r="BE217" s="1417"/>
      <c r="BF217" s="1417"/>
      <c r="BG217" s="1417"/>
      <c r="BH217" s="1417"/>
      <c r="BI217" s="1417"/>
      <c r="BJ217" s="1417"/>
      <c r="BK217" s="1417"/>
      <c r="BL217" s="1417"/>
      <c r="BM217" s="1417"/>
      <c r="BN217" s="1417"/>
      <c r="BO217" s="1417"/>
      <c r="BP217" s="1417"/>
      <c r="BQ217" s="1417"/>
      <c r="BR217" s="1417"/>
      <c r="BS217" s="1417"/>
      <c r="BT217" s="1417"/>
      <c r="BU217" s="1417"/>
      <c r="BV217" s="1417"/>
      <c r="BW217" s="1417"/>
      <c r="BX217" s="1417"/>
      <c r="BY217" s="1417"/>
      <c r="BZ217" s="1417"/>
      <c r="CA217" s="1417"/>
      <c r="CB217" s="1417"/>
      <c r="CC217" s="1417"/>
      <c r="CD217" s="1417"/>
      <c r="CE217" s="1417"/>
      <c r="CF217" s="1417"/>
      <c r="CG217" s="1417"/>
      <c r="CH217" s="1417"/>
      <c r="CI217" s="1417"/>
      <c r="CJ217" s="1417"/>
      <c r="CK217" s="1417"/>
      <c r="CL217" s="1417"/>
      <c r="CM217" s="1417"/>
      <c r="CN217" s="1417"/>
      <c r="CO217" s="1417"/>
      <c r="CP217" s="1417"/>
      <c r="CQ217" s="1417"/>
      <c r="CR217" s="1417"/>
      <c r="CS217" s="1417"/>
      <c r="CT217" s="1417"/>
      <c r="CU217" s="1417"/>
      <c r="CV217" s="1417"/>
      <c r="CW217" s="1417"/>
      <c r="CX217" s="1417"/>
      <c r="CY217" s="1417"/>
      <c r="CZ217" s="1417"/>
      <c r="DA217" s="1417"/>
      <c r="DB217" s="1417"/>
      <c r="DC217" s="1417"/>
      <c r="DD217" s="1417"/>
      <c r="DE217" s="1417"/>
      <c r="DF217" s="1417"/>
      <c r="DG217" s="1417"/>
      <c r="DH217" s="1417"/>
      <c r="DI217" s="1417"/>
      <c r="DJ217" s="1417"/>
      <c r="DK217" s="1417"/>
      <c r="DL217" s="1417"/>
      <c r="DM217" s="1417"/>
      <c r="DN217" s="1417"/>
      <c r="DO217" s="1417"/>
      <c r="DP217" s="1417"/>
      <c r="DQ217" s="1417"/>
      <c r="DR217" s="1417"/>
      <c r="DS217" s="1417"/>
      <c r="DT217" s="1417"/>
      <c r="DU217" s="1417"/>
      <c r="DV217" s="1417"/>
      <c r="DW217" s="1417"/>
      <c r="DX217" s="1417"/>
      <c r="DY217" s="1417"/>
      <c r="DZ217" s="1417"/>
      <c r="EA217" s="1417"/>
      <c r="EB217" s="1417"/>
      <c r="EC217" s="1417"/>
      <c r="ED217" s="1417"/>
      <c r="EE217" s="1417"/>
      <c r="EF217" s="1417"/>
      <c r="EG217" s="1417"/>
      <c r="EH217" s="1417"/>
      <c r="EI217" s="1417"/>
      <c r="EJ217" s="1417"/>
      <c r="EK217" s="1417"/>
      <c r="EL217" s="1417"/>
      <c r="EM217" s="1417"/>
      <c r="EN217" s="1417"/>
      <c r="EO217" s="1417"/>
      <c r="EP217" s="1417"/>
      <c r="EQ217" s="1417"/>
      <c r="ER217" s="1417"/>
      <c r="ES217" s="1417"/>
      <c r="ET217" s="1417"/>
      <c r="EU217" s="1417"/>
      <c r="EV217" s="1417"/>
      <c r="EW217" s="1417"/>
      <c r="EX217" s="1417"/>
      <c r="EY217" s="1417"/>
      <c r="EZ217" s="1417"/>
      <c r="FA217" s="1417"/>
      <c r="FB217" s="1417"/>
      <c r="FC217" s="1417"/>
      <c r="FD217" s="1417"/>
      <c r="FE217" s="1417"/>
      <c r="FF217" s="1417"/>
      <c r="FG217" s="1417"/>
      <c r="FH217" s="1417"/>
      <c r="FI217" s="1417"/>
      <c r="FJ217" s="1417"/>
      <c r="FK217" s="1417"/>
      <c r="FL217" s="1417"/>
      <c r="FM217" s="1417"/>
      <c r="FN217" s="1417"/>
      <c r="FO217" s="1417"/>
      <c r="FP217" s="1417"/>
      <c r="FQ217" s="1417"/>
      <c r="FR217" s="1417"/>
      <c r="FS217" s="1417"/>
      <c r="FT217" s="1417"/>
      <c r="FU217" s="1417"/>
      <c r="FV217" s="1417"/>
      <c r="FW217" s="1417"/>
      <c r="FX217" s="1417"/>
      <c r="FY217" s="1417"/>
      <c r="FZ217" s="1417"/>
      <c r="GA217" s="1417"/>
      <c r="GB217" s="1417"/>
      <c r="GC217" s="1417"/>
      <c r="GD217" s="1417"/>
      <c r="GE217" s="1417"/>
      <c r="GF217" s="1417"/>
      <c r="GG217" s="1417"/>
      <c r="GH217" s="1417"/>
      <c r="GI217" s="1417"/>
      <c r="GJ217" s="1417"/>
      <c r="GK217" s="1417"/>
      <c r="GL217" s="1417"/>
      <c r="GM217" s="1417"/>
      <c r="GN217" s="1417"/>
      <c r="GO217" s="1417"/>
      <c r="GP217" s="1417"/>
      <c r="GQ217" s="1417"/>
      <c r="GR217" s="1417"/>
      <c r="GS217" s="1417"/>
      <c r="GT217" s="1417"/>
      <c r="GU217" s="1417"/>
      <c r="GV217" s="1417"/>
      <c r="GW217" s="1417"/>
      <c r="GX217" s="1417"/>
      <c r="GY217" s="1417"/>
      <c r="GZ217" s="1417"/>
      <c r="HA217" s="1417"/>
      <c r="HB217" s="1417"/>
      <c r="HC217" s="1417"/>
      <c r="HD217" s="1417"/>
      <c r="HE217" s="1417"/>
      <c r="HF217" s="1417"/>
      <c r="HG217" s="1417"/>
      <c r="HH217" s="1417"/>
      <c r="HI217" s="1417"/>
      <c r="HJ217" s="1417"/>
      <c r="HK217" s="1417"/>
      <c r="HL217" s="1417"/>
      <c r="HM217" s="1417"/>
      <c r="HN217" s="1417"/>
      <c r="HO217" s="1417"/>
      <c r="HP217" s="1417"/>
      <c r="HQ217" s="1417"/>
      <c r="HR217" s="1417"/>
      <c r="HS217" s="1417"/>
      <c r="HT217" s="1417"/>
      <c r="HU217" s="1417"/>
      <c r="HV217" s="1417"/>
      <c r="HW217" s="1417"/>
      <c r="HX217" s="1417"/>
      <c r="HY217" s="1417"/>
      <c r="HZ217" s="1417"/>
      <c r="IA217" s="1417"/>
      <c r="IB217" s="1417"/>
      <c r="IC217" s="1417"/>
      <c r="ID217" s="1417"/>
      <c r="IE217" s="1417"/>
      <c r="IF217" s="1417"/>
      <c r="IG217" s="1417"/>
      <c r="IH217" s="1417"/>
      <c r="II217" s="1417"/>
      <c r="IJ217" s="1417"/>
      <c r="IK217" s="1417"/>
      <c r="IL217" s="1417"/>
      <c r="IM217" s="1417"/>
      <c r="IN217" s="1417"/>
      <c r="IO217" s="1417"/>
      <c r="IP217" s="1417"/>
      <c r="IQ217" s="1417"/>
      <c r="IR217" s="1417"/>
      <c r="IS217" s="1417"/>
      <c r="IT217" s="1417"/>
      <c r="IU217" s="1417"/>
      <c r="IV217" s="1417"/>
    </row>
    <row r="218" spans="1:256" ht="24.75" customHeight="1" x14ac:dyDescent="0.3">
      <c r="A218" s="1403">
        <v>209</v>
      </c>
      <c r="B218" s="1417"/>
      <c r="C218" s="1417"/>
      <c r="D218" s="1566" t="s">
        <v>768</v>
      </c>
      <c r="E218" s="1573"/>
      <c r="F218" s="1417"/>
      <c r="G218" s="1417"/>
      <c r="H218" s="1417"/>
      <c r="I218" s="1417"/>
      <c r="J218" s="1417"/>
      <c r="K218" s="1417"/>
      <c r="L218" s="1418"/>
      <c r="M218" s="1417"/>
      <c r="N218" s="1417"/>
      <c r="O218" s="1417"/>
      <c r="P218" s="1417"/>
      <c r="Q218" s="1417"/>
      <c r="R218" s="1417"/>
      <c r="S218" s="1417"/>
      <c r="T218" s="1417"/>
      <c r="U218" s="1417"/>
      <c r="V218" s="1417"/>
      <c r="W218" s="1417"/>
      <c r="X218" s="1417"/>
      <c r="Y218" s="1417"/>
      <c r="Z218" s="1417"/>
      <c r="AA218" s="1417"/>
      <c r="AB218" s="1417"/>
      <c r="AC218" s="1417"/>
      <c r="AD218" s="1417"/>
      <c r="AE218" s="1417"/>
      <c r="AF218" s="1417"/>
      <c r="AG218" s="1417"/>
      <c r="AH218" s="1417"/>
      <c r="AI218" s="1417"/>
      <c r="AJ218" s="1417"/>
      <c r="AK218" s="1417"/>
      <c r="AL218" s="1417"/>
      <c r="AM218" s="1417"/>
      <c r="AN218" s="1417"/>
      <c r="AO218" s="1417"/>
      <c r="AP218" s="1417"/>
      <c r="AQ218" s="1417"/>
      <c r="AR218" s="1417"/>
      <c r="AS218" s="1417"/>
      <c r="AT218" s="1417"/>
      <c r="AU218" s="1417"/>
      <c r="AV218" s="1417"/>
      <c r="AW218" s="1417"/>
      <c r="AX218" s="1417"/>
      <c r="AY218" s="1417"/>
      <c r="AZ218" s="1417"/>
      <c r="BA218" s="1417"/>
      <c r="BB218" s="1417"/>
      <c r="BC218" s="1417"/>
      <c r="BD218" s="1417"/>
      <c r="BE218" s="1417"/>
      <c r="BF218" s="1417"/>
      <c r="BG218" s="1417"/>
      <c r="BH218" s="1417"/>
      <c r="BI218" s="1417"/>
      <c r="BJ218" s="1417"/>
      <c r="BK218" s="1417"/>
      <c r="BL218" s="1417"/>
      <c r="BM218" s="1417"/>
      <c r="BN218" s="1417"/>
      <c r="BO218" s="1417"/>
      <c r="BP218" s="1417"/>
      <c r="BQ218" s="1417"/>
      <c r="BR218" s="1417"/>
      <c r="BS218" s="1417"/>
      <c r="BT218" s="1417"/>
      <c r="BU218" s="1417"/>
      <c r="BV218" s="1417"/>
      <c r="BW218" s="1417"/>
      <c r="BX218" s="1417"/>
      <c r="BY218" s="1417"/>
      <c r="BZ218" s="1417"/>
      <c r="CA218" s="1417"/>
      <c r="CB218" s="1417"/>
      <c r="CC218" s="1417"/>
      <c r="CD218" s="1417"/>
      <c r="CE218" s="1417"/>
      <c r="CF218" s="1417"/>
      <c r="CG218" s="1417"/>
      <c r="CH218" s="1417"/>
      <c r="CI218" s="1417"/>
      <c r="CJ218" s="1417"/>
      <c r="CK218" s="1417"/>
      <c r="CL218" s="1417"/>
      <c r="CM218" s="1417"/>
      <c r="CN218" s="1417"/>
      <c r="CO218" s="1417"/>
      <c r="CP218" s="1417"/>
      <c r="CQ218" s="1417"/>
      <c r="CR218" s="1417"/>
      <c r="CS218" s="1417"/>
      <c r="CT218" s="1417"/>
      <c r="CU218" s="1417"/>
      <c r="CV218" s="1417"/>
      <c r="CW218" s="1417"/>
      <c r="CX218" s="1417"/>
      <c r="CY218" s="1417"/>
      <c r="CZ218" s="1417"/>
      <c r="DA218" s="1417"/>
      <c r="DB218" s="1417"/>
      <c r="DC218" s="1417"/>
      <c r="DD218" s="1417"/>
      <c r="DE218" s="1417"/>
      <c r="DF218" s="1417"/>
      <c r="DG218" s="1417"/>
      <c r="DH218" s="1417"/>
      <c r="DI218" s="1417"/>
      <c r="DJ218" s="1417"/>
      <c r="DK218" s="1417"/>
      <c r="DL218" s="1417"/>
      <c r="DM218" s="1417"/>
      <c r="DN218" s="1417"/>
      <c r="DO218" s="1417"/>
      <c r="DP218" s="1417"/>
      <c r="DQ218" s="1417"/>
      <c r="DR218" s="1417"/>
      <c r="DS218" s="1417"/>
      <c r="DT218" s="1417"/>
      <c r="DU218" s="1417"/>
      <c r="DV218" s="1417"/>
      <c r="DW218" s="1417"/>
      <c r="DX218" s="1417"/>
      <c r="DY218" s="1417"/>
      <c r="DZ218" s="1417"/>
      <c r="EA218" s="1417"/>
      <c r="EB218" s="1417"/>
      <c r="EC218" s="1417"/>
      <c r="ED218" s="1417"/>
      <c r="EE218" s="1417"/>
      <c r="EF218" s="1417"/>
      <c r="EG218" s="1417"/>
      <c r="EH218" s="1417"/>
      <c r="EI218" s="1417"/>
      <c r="EJ218" s="1417"/>
      <c r="EK218" s="1417"/>
      <c r="EL218" s="1417"/>
      <c r="EM218" s="1417"/>
      <c r="EN218" s="1417"/>
      <c r="EO218" s="1417"/>
      <c r="EP218" s="1417"/>
      <c r="EQ218" s="1417"/>
      <c r="ER218" s="1417"/>
      <c r="ES218" s="1417"/>
      <c r="ET218" s="1417"/>
      <c r="EU218" s="1417"/>
      <c r="EV218" s="1417"/>
      <c r="EW218" s="1417"/>
      <c r="EX218" s="1417"/>
      <c r="EY218" s="1417"/>
      <c r="EZ218" s="1417"/>
      <c r="FA218" s="1417"/>
      <c r="FB218" s="1417"/>
      <c r="FC218" s="1417"/>
      <c r="FD218" s="1417"/>
      <c r="FE218" s="1417"/>
      <c r="FF218" s="1417"/>
      <c r="FG218" s="1417"/>
      <c r="FH218" s="1417"/>
      <c r="FI218" s="1417"/>
      <c r="FJ218" s="1417"/>
      <c r="FK218" s="1417"/>
      <c r="FL218" s="1417"/>
      <c r="FM218" s="1417"/>
      <c r="FN218" s="1417"/>
      <c r="FO218" s="1417"/>
      <c r="FP218" s="1417"/>
      <c r="FQ218" s="1417"/>
      <c r="FR218" s="1417"/>
      <c r="FS218" s="1417"/>
      <c r="FT218" s="1417"/>
      <c r="FU218" s="1417"/>
      <c r="FV218" s="1417"/>
      <c r="FW218" s="1417"/>
      <c r="FX218" s="1417"/>
      <c r="FY218" s="1417"/>
      <c r="FZ218" s="1417"/>
      <c r="GA218" s="1417"/>
      <c r="GB218" s="1417"/>
      <c r="GC218" s="1417"/>
      <c r="GD218" s="1417"/>
      <c r="GE218" s="1417"/>
      <c r="GF218" s="1417"/>
      <c r="GG218" s="1417"/>
      <c r="GH218" s="1417"/>
      <c r="GI218" s="1417"/>
      <c r="GJ218" s="1417"/>
      <c r="GK218" s="1417"/>
      <c r="GL218" s="1417"/>
      <c r="GM218" s="1417"/>
      <c r="GN218" s="1417"/>
      <c r="GO218" s="1417"/>
      <c r="GP218" s="1417"/>
      <c r="GQ218" s="1417"/>
      <c r="GR218" s="1417"/>
      <c r="GS218" s="1417"/>
      <c r="GT218" s="1417"/>
      <c r="GU218" s="1417"/>
      <c r="GV218" s="1417"/>
      <c r="GW218" s="1417"/>
      <c r="GX218" s="1417"/>
      <c r="GY218" s="1417"/>
      <c r="GZ218" s="1417"/>
      <c r="HA218" s="1417"/>
      <c r="HB218" s="1417"/>
      <c r="HC218" s="1417"/>
      <c r="HD218" s="1417"/>
      <c r="HE218" s="1417"/>
      <c r="HF218" s="1417"/>
      <c r="HG218" s="1417"/>
      <c r="HH218" s="1417"/>
      <c r="HI218" s="1417"/>
      <c r="HJ218" s="1417"/>
      <c r="HK218" s="1417"/>
      <c r="HL218" s="1417"/>
      <c r="HM218" s="1417"/>
      <c r="HN218" s="1417"/>
      <c r="HO218" s="1417"/>
      <c r="HP218" s="1417"/>
      <c r="HQ218" s="1417"/>
      <c r="HR218" s="1417"/>
      <c r="HS218" s="1417"/>
      <c r="HT218" s="1417"/>
      <c r="HU218" s="1417"/>
      <c r="HV218" s="1417"/>
      <c r="HW218" s="1417"/>
      <c r="HX218" s="1417"/>
      <c r="HY218" s="1417"/>
      <c r="HZ218" s="1417"/>
      <c r="IA218" s="1417"/>
      <c r="IB218" s="1417"/>
      <c r="IC218" s="1417"/>
      <c r="ID218" s="1417"/>
      <c r="IE218" s="1417"/>
      <c r="IF218" s="1417"/>
      <c r="IG218" s="1417"/>
      <c r="IH218" s="1417"/>
      <c r="II218" s="1417"/>
      <c r="IJ218" s="1417"/>
      <c r="IK218" s="1417"/>
      <c r="IL218" s="1417"/>
      <c r="IM218" s="1417"/>
      <c r="IN218" s="1417"/>
      <c r="IO218" s="1417"/>
      <c r="IP218" s="1417"/>
      <c r="IQ218" s="1417"/>
      <c r="IR218" s="1417"/>
      <c r="IS218" s="1417"/>
      <c r="IT218" s="1417"/>
      <c r="IU218" s="1417"/>
      <c r="IV218" s="1417"/>
    </row>
    <row r="219" spans="1:256" ht="34.5" customHeight="1" x14ac:dyDescent="0.3">
      <c r="A219" s="1403">
        <v>210</v>
      </c>
      <c r="B219" s="1417"/>
      <c r="C219" s="1417"/>
      <c r="D219" s="1721" t="s">
        <v>1006</v>
      </c>
      <c r="E219" s="1573">
        <v>39000</v>
      </c>
      <c r="F219" s="1417"/>
      <c r="G219" s="1417"/>
      <c r="H219" s="1417"/>
      <c r="I219" s="1417"/>
      <c r="J219" s="1417"/>
      <c r="K219" s="1417"/>
      <c r="L219" s="1418"/>
      <c r="M219" s="1417"/>
      <c r="N219" s="1417"/>
      <c r="O219" s="1417"/>
      <c r="P219" s="1417"/>
      <c r="Q219" s="1417"/>
      <c r="R219" s="1417"/>
      <c r="S219" s="1417"/>
      <c r="T219" s="1417"/>
      <c r="U219" s="1417"/>
      <c r="V219" s="1417"/>
      <c r="W219" s="1417"/>
      <c r="X219" s="1417"/>
      <c r="Y219" s="1417"/>
      <c r="Z219" s="1417"/>
      <c r="AA219" s="1417"/>
      <c r="AB219" s="1417"/>
      <c r="AC219" s="1417"/>
      <c r="AD219" s="1417"/>
      <c r="AE219" s="1417"/>
      <c r="AF219" s="1417"/>
      <c r="AG219" s="1417"/>
      <c r="AH219" s="1417"/>
      <c r="AI219" s="1417"/>
      <c r="AJ219" s="1417"/>
      <c r="AK219" s="1417"/>
      <c r="AL219" s="1417"/>
      <c r="AM219" s="1417"/>
      <c r="AN219" s="1417"/>
      <c r="AO219" s="1417"/>
      <c r="AP219" s="1417"/>
      <c r="AQ219" s="1417"/>
      <c r="AR219" s="1417"/>
      <c r="AS219" s="1417"/>
      <c r="AT219" s="1417"/>
      <c r="AU219" s="1417"/>
      <c r="AV219" s="1417"/>
      <c r="AW219" s="1417"/>
      <c r="AX219" s="1417"/>
      <c r="AY219" s="1417"/>
      <c r="AZ219" s="1417"/>
      <c r="BA219" s="1417"/>
      <c r="BB219" s="1417"/>
      <c r="BC219" s="1417"/>
      <c r="BD219" s="1417"/>
      <c r="BE219" s="1417"/>
      <c r="BF219" s="1417"/>
      <c r="BG219" s="1417"/>
      <c r="BH219" s="1417"/>
      <c r="BI219" s="1417"/>
      <c r="BJ219" s="1417"/>
      <c r="BK219" s="1417"/>
      <c r="BL219" s="1417"/>
      <c r="BM219" s="1417"/>
      <c r="BN219" s="1417"/>
      <c r="BO219" s="1417"/>
      <c r="BP219" s="1417"/>
      <c r="BQ219" s="1417"/>
      <c r="BR219" s="1417"/>
      <c r="BS219" s="1417"/>
      <c r="BT219" s="1417"/>
      <c r="BU219" s="1417"/>
      <c r="BV219" s="1417"/>
      <c r="BW219" s="1417"/>
      <c r="BX219" s="1417"/>
      <c r="BY219" s="1417"/>
      <c r="BZ219" s="1417"/>
      <c r="CA219" s="1417"/>
      <c r="CB219" s="1417"/>
      <c r="CC219" s="1417"/>
      <c r="CD219" s="1417"/>
      <c r="CE219" s="1417"/>
      <c r="CF219" s="1417"/>
      <c r="CG219" s="1417"/>
      <c r="CH219" s="1417"/>
      <c r="CI219" s="1417"/>
      <c r="CJ219" s="1417"/>
      <c r="CK219" s="1417"/>
      <c r="CL219" s="1417"/>
      <c r="CM219" s="1417"/>
      <c r="CN219" s="1417"/>
      <c r="CO219" s="1417"/>
      <c r="CP219" s="1417"/>
      <c r="CQ219" s="1417"/>
      <c r="CR219" s="1417"/>
      <c r="CS219" s="1417"/>
      <c r="CT219" s="1417"/>
      <c r="CU219" s="1417"/>
      <c r="CV219" s="1417"/>
      <c r="CW219" s="1417"/>
      <c r="CX219" s="1417"/>
      <c r="CY219" s="1417"/>
      <c r="CZ219" s="1417"/>
      <c r="DA219" s="1417"/>
      <c r="DB219" s="1417"/>
      <c r="DC219" s="1417"/>
      <c r="DD219" s="1417"/>
      <c r="DE219" s="1417"/>
      <c r="DF219" s="1417"/>
      <c r="DG219" s="1417"/>
      <c r="DH219" s="1417"/>
      <c r="DI219" s="1417"/>
      <c r="DJ219" s="1417"/>
      <c r="DK219" s="1417"/>
      <c r="DL219" s="1417"/>
      <c r="DM219" s="1417"/>
      <c r="DN219" s="1417"/>
      <c r="DO219" s="1417"/>
      <c r="DP219" s="1417"/>
      <c r="DQ219" s="1417"/>
      <c r="DR219" s="1417"/>
      <c r="DS219" s="1417"/>
      <c r="DT219" s="1417"/>
      <c r="DU219" s="1417"/>
      <c r="DV219" s="1417"/>
      <c r="DW219" s="1417"/>
      <c r="DX219" s="1417"/>
      <c r="DY219" s="1417"/>
      <c r="DZ219" s="1417"/>
      <c r="EA219" s="1417"/>
      <c r="EB219" s="1417"/>
      <c r="EC219" s="1417"/>
      <c r="ED219" s="1417"/>
      <c r="EE219" s="1417"/>
      <c r="EF219" s="1417"/>
      <c r="EG219" s="1417"/>
      <c r="EH219" s="1417"/>
      <c r="EI219" s="1417"/>
      <c r="EJ219" s="1417"/>
      <c r="EK219" s="1417"/>
      <c r="EL219" s="1417"/>
      <c r="EM219" s="1417"/>
      <c r="EN219" s="1417"/>
      <c r="EO219" s="1417"/>
      <c r="EP219" s="1417"/>
      <c r="EQ219" s="1417"/>
      <c r="ER219" s="1417"/>
      <c r="ES219" s="1417"/>
      <c r="ET219" s="1417"/>
      <c r="EU219" s="1417"/>
      <c r="EV219" s="1417"/>
      <c r="EW219" s="1417"/>
      <c r="EX219" s="1417"/>
      <c r="EY219" s="1417"/>
      <c r="EZ219" s="1417"/>
      <c r="FA219" s="1417"/>
      <c r="FB219" s="1417"/>
      <c r="FC219" s="1417"/>
      <c r="FD219" s="1417"/>
      <c r="FE219" s="1417"/>
      <c r="FF219" s="1417"/>
      <c r="FG219" s="1417"/>
      <c r="FH219" s="1417"/>
      <c r="FI219" s="1417"/>
      <c r="FJ219" s="1417"/>
      <c r="FK219" s="1417"/>
      <c r="FL219" s="1417"/>
      <c r="FM219" s="1417"/>
      <c r="FN219" s="1417"/>
      <c r="FO219" s="1417"/>
      <c r="FP219" s="1417"/>
      <c r="FQ219" s="1417"/>
      <c r="FR219" s="1417"/>
      <c r="FS219" s="1417"/>
      <c r="FT219" s="1417"/>
      <c r="FU219" s="1417"/>
      <c r="FV219" s="1417"/>
      <c r="FW219" s="1417"/>
      <c r="FX219" s="1417"/>
      <c r="FY219" s="1417"/>
      <c r="FZ219" s="1417"/>
      <c r="GA219" s="1417"/>
      <c r="GB219" s="1417"/>
      <c r="GC219" s="1417"/>
      <c r="GD219" s="1417"/>
      <c r="GE219" s="1417"/>
      <c r="GF219" s="1417"/>
      <c r="GG219" s="1417"/>
      <c r="GH219" s="1417"/>
      <c r="GI219" s="1417"/>
      <c r="GJ219" s="1417"/>
      <c r="GK219" s="1417"/>
      <c r="GL219" s="1417"/>
      <c r="GM219" s="1417"/>
      <c r="GN219" s="1417"/>
      <c r="GO219" s="1417"/>
      <c r="GP219" s="1417"/>
      <c r="GQ219" s="1417"/>
      <c r="GR219" s="1417"/>
      <c r="GS219" s="1417"/>
      <c r="GT219" s="1417"/>
      <c r="GU219" s="1417"/>
      <c r="GV219" s="1417"/>
      <c r="GW219" s="1417"/>
      <c r="GX219" s="1417"/>
      <c r="GY219" s="1417"/>
      <c r="GZ219" s="1417"/>
      <c r="HA219" s="1417"/>
      <c r="HB219" s="1417"/>
      <c r="HC219" s="1417"/>
      <c r="HD219" s="1417"/>
      <c r="HE219" s="1417"/>
      <c r="HF219" s="1417"/>
      <c r="HG219" s="1417"/>
      <c r="HH219" s="1417"/>
      <c r="HI219" s="1417"/>
      <c r="HJ219" s="1417"/>
      <c r="HK219" s="1417"/>
      <c r="HL219" s="1417"/>
      <c r="HM219" s="1417"/>
      <c r="HN219" s="1417"/>
      <c r="HO219" s="1417"/>
      <c r="HP219" s="1417"/>
      <c r="HQ219" s="1417"/>
      <c r="HR219" s="1417"/>
      <c r="HS219" s="1417"/>
      <c r="HT219" s="1417"/>
      <c r="HU219" s="1417"/>
      <c r="HV219" s="1417"/>
      <c r="HW219" s="1417"/>
      <c r="HX219" s="1417"/>
      <c r="HY219" s="1417"/>
      <c r="HZ219" s="1417"/>
      <c r="IA219" s="1417"/>
      <c r="IB219" s="1417"/>
      <c r="IC219" s="1417"/>
      <c r="ID219" s="1417"/>
      <c r="IE219" s="1417"/>
      <c r="IF219" s="1417"/>
      <c r="IG219" s="1417"/>
      <c r="IH219" s="1417"/>
      <c r="II219" s="1417"/>
      <c r="IJ219" s="1417"/>
      <c r="IK219" s="1417"/>
      <c r="IL219" s="1417"/>
      <c r="IM219" s="1417"/>
      <c r="IN219" s="1417"/>
      <c r="IO219" s="1417"/>
      <c r="IP219" s="1417"/>
      <c r="IQ219" s="1417"/>
      <c r="IR219" s="1417"/>
      <c r="IS219" s="1417"/>
      <c r="IT219" s="1417"/>
      <c r="IU219" s="1417"/>
      <c r="IV219" s="1417"/>
    </row>
    <row r="220" spans="1:256" ht="31.5" customHeight="1" x14ac:dyDescent="0.3">
      <c r="A220" s="1403">
        <v>211</v>
      </c>
      <c r="B220" s="1417"/>
      <c r="C220" s="1417"/>
      <c r="D220" s="1721" t="s">
        <v>1014</v>
      </c>
      <c r="E220" s="1574">
        <v>47000</v>
      </c>
      <c r="F220" s="1417"/>
      <c r="G220" s="1417"/>
      <c r="H220" s="1417"/>
      <c r="I220" s="1417"/>
      <c r="J220" s="1417"/>
      <c r="K220" s="1417"/>
      <c r="L220" s="1418"/>
      <c r="M220" s="1417"/>
      <c r="N220" s="1417"/>
      <c r="O220" s="1417"/>
      <c r="P220" s="1417"/>
      <c r="Q220" s="1417"/>
      <c r="R220" s="1417"/>
      <c r="S220" s="1417"/>
      <c r="T220" s="1417"/>
      <c r="U220" s="1417"/>
      <c r="V220" s="1417"/>
      <c r="W220" s="1417"/>
      <c r="X220" s="1417"/>
      <c r="Y220" s="1417"/>
      <c r="Z220" s="1417"/>
      <c r="AA220" s="1417"/>
      <c r="AB220" s="1417"/>
      <c r="AC220" s="1417"/>
      <c r="AD220" s="1417"/>
      <c r="AE220" s="1417"/>
      <c r="AF220" s="1417"/>
      <c r="AG220" s="1417"/>
      <c r="AH220" s="1417"/>
      <c r="AI220" s="1417"/>
      <c r="AJ220" s="1417"/>
      <c r="AK220" s="1417"/>
      <c r="AL220" s="1417"/>
      <c r="AM220" s="1417"/>
      <c r="AN220" s="1417"/>
      <c r="AO220" s="1417"/>
      <c r="AP220" s="1417"/>
      <c r="AQ220" s="1417"/>
      <c r="AR220" s="1417"/>
      <c r="AS220" s="1417"/>
      <c r="AT220" s="1417"/>
      <c r="AU220" s="1417"/>
      <c r="AV220" s="1417"/>
      <c r="AW220" s="1417"/>
      <c r="AX220" s="1417"/>
      <c r="AY220" s="1417"/>
      <c r="AZ220" s="1417"/>
      <c r="BA220" s="1417"/>
      <c r="BB220" s="1417"/>
      <c r="BC220" s="1417"/>
      <c r="BD220" s="1417"/>
      <c r="BE220" s="1417"/>
      <c r="BF220" s="1417"/>
      <c r="BG220" s="1417"/>
      <c r="BH220" s="1417"/>
      <c r="BI220" s="1417"/>
      <c r="BJ220" s="1417"/>
      <c r="BK220" s="1417"/>
      <c r="BL220" s="1417"/>
      <c r="BM220" s="1417"/>
      <c r="BN220" s="1417"/>
      <c r="BO220" s="1417"/>
      <c r="BP220" s="1417"/>
      <c r="BQ220" s="1417"/>
      <c r="BR220" s="1417"/>
      <c r="BS220" s="1417"/>
      <c r="BT220" s="1417"/>
      <c r="BU220" s="1417"/>
      <c r="BV220" s="1417"/>
      <c r="BW220" s="1417"/>
      <c r="BX220" s="1417"/>
      <c r="BY220" s="1417"/>
      <c r="BZ220" s="1417"/>
      <c r="CA220" s="1417"/>
      <c r="CB220" s="1417"/>
      <c r="CC220" s="1417"/>
      <c r="CD220" s="1417"/>
      <c r="CE220" s="1417"/>
      <c r="CF220" s="1417"/>
      <c r="CG220" s="1417"/>
      <c r="CH220" s="1417"/>
      <c r="CI220" s="1417"/>
      <c r="CJ220" s="1417"/>
      <c r="CK220" s="1417"/>
      <c r="CL220" s="1417"/>
      <c r="CM220" s="1417"/>
      <c r="CN220" s="1417"/>
      <c r="CO220" s="1417"/>
      <c r="CP220" s="1417"/>
      <c r="CQ220" s="1417"/>
      <c r="CR220" s="1417"/>
      <c r="CS220" s="1417"/>
      <c r="CT220" s="1417"/>
      <c r="CU220" s="1417"/>
      <c r="CV220" s="1417"/>
      <c r="CW220" s="1417"/>
      <c r="CX220" s="1417"/>
      <c r="CY220" s="1417"/>
      <c r="CZ220" s="1417"/>
      <c r="DA220" s="1417"/>
      <c r="DB220" s="1417"/>
      <c r="DC220" s="1417"/>
      <c r="DD220" s="1417"/>
      <c r="DE220" s="1417"/>
      <c r="DF220" s="1417"/>
      <c r="DG220" s="1417"/>
      <c r="DH220" s="1417"/>
      <c r="DI220" s="1417"/>
      <c r="DJ220" s="1417"/>
      <c r="DK220" s="1417"/>
      <c r="DL220" s="1417"/>
      <c r="DM220" s="1417"/>
      <c r="DN220" s="1417"/>
      <c r="DO220" s="1417"/>
      <c r="DP220" s="1417"/>
      <c r="DQ220" s="1417"/>
      <c r="DR220" s="1417"/>
      <c r="DS220" s="1417"/>
      <c r="DT220" s="1417"/>
      <c r="DU220" s="1417"/>
      <c r="DV220" s="1417"/>
      <c r="DW220" s="1417"/>
      <c r="DX220" s="1417"/>
      <c r="DY220" s="1417"/>
      <c r="DZ220" s="1417"/>
      <c r="EA220" s="1417"/>
      <c r="EB220" s="1417"/>
      <c r="EC220" s="1417"/>
      <c r="ED220" s="1417"/>
      <c r="EE220" s="1417"/>
      <c r="EF220" s="1417"/>
      <c r="EG220" s="1417"/>
      <c r="EH220" s="1417"/>
      <c r="EI220" s="1417"/>
      <c r="EJ220" s="1417"/>
      <c r="EK220" s="1417"/>
      <c r="EL220" s="1417"/>
      <c r="EM220" s="1417"/>
      <c r="EN220" s="1417"/>
      <c r="EO220" s="1417"/>
      <c r="EP220" s="1417"/>
      <c r="EQ220" s="1417"/>
      <c r="ER220" s="1417"/>
      <c r="ES220" s="1417"/>
      <c r="ET220" s="1417"/>
      <c r="EU220" s="1417"/>
      <c r="EV220" s="1417"/>
      <c r="EW220" s="1417"/>
      <c r="EX220" s="1417"/>
      <c r="EY220" s="1417"/>
      <c r="EZ220" s="1417"/>
      <c r="FA220" s="1417"/>
      <c r="FB220" s="1417"/>
      <c r="FC220" s="1417"/>
      <c r="FD220" s="1417"/>
      <c r="FE220" s="1417"/>
      <c r="FF220" s="1417"/>
      <c r="FG220" s="1417"/>
      <c r="FH220" s="1417"/>
      <c r="FI220" s="1417"/>
      <c r="FJ220" s="1417"/>
      <c r="FK220" s="1417"/>
      <c r="FL220" s="1417"/>
      <c r="FM220" s="1417"/>
      <c r="FN220" s="1417"/>
      <c r="FO220" s="1417"/>
      <c r="FP220" s="1417"/>
      <c r="FQ220" s="1417"/>
      <c r="FR220" s="1417"/>
      <c r="FS220" s="1417"/>
      <c r="FT220" s="1417"/>
      <c r="FU220" s="1417"/>
      <c r="FV220" s="1417"/>
      <c r="FW220" s="1417"/>
      <c r="FX220" s="1417"/>
      <c r="FY220" s="1417"/>
      <c r="FZ220" s="1417"/>
      <c r="GA220" s="1417"/>
      <c r="GB220" s="1417"/>
      <c r="GC220" s="1417"/>
      <c r="GD220" s="1417"/>
      <c r="GE220" s="1417"/>
      <c r="GF220" s="1417"/>
      <c r="GG220" s="1417"/>
      <c r="GH220" s="1417"/>
      <c r="GI220" s="1417"/>
      <c r="GJ220" s="1417"/>
      <c r="GK220" s="1417"/>
      <c r="GL220" s="1417"/>
      <c r="GM220" s="1417"/>
      <c r="GN220" s="1417"/>
      <c r="GO220" s="1417"/>
      <c r="GP220" s="1417"/>
      <c r="GQ220" s="1417"/>
      <c r="GR220" s="1417"/>
      <c r="GS220" s="1417"/>
      <c r="GT220" s="1417"/>
      <c r="GU220" s="1417"/>
      <c r="GV220" s="1417"/>
      <c r="GW220" s="1417"/>
      <c r="GX220" s="1417"/>
      <c r="GY220" s="1417"/>
      <c r="GZ220" s="1417"/>
      <c r="HA220" s="1417"/>
      <c r="HB220" s="1417"/>
      <c r="HC220" s="1417"/>
      <c r="HD220" s="1417"/>
      <c r="HE220" s="1417"/>
      <c r="HF220" s="1417"/>
      <c r="HG220" s="1417"/>
      <c r="HH220" s="1417"/>
      <c r="HI220" s="1417"/>
      <c r="HJ220" s="1417"/>
      <c r="HK220" s="1417"/>
      <c r="HL220" s="1417"/>
      <c r="HM220" s="1417"/>
      <c r="HN220" s="1417"/>
      <c r="HO220" s="1417"/>
      <c r="HP220" s="1417"/>
      <c r="HQ220" s="1417"/>
      <c r="HR220" s="1417"/>
      <c r="HS220" s="1417"/>
      <c r="HT220" s="1417"/>
      <c r="HU220" s="1417"/>
      <c r="HV220" s="1417"/>
      <c r="HW220" s="1417"/>
      <c r="HX220" s="1417"/>
      <c r="HY220" s="1417"/>
      <c r="HZ220" s="1417"/>
      <c r="IA220" s="1417"/>
      <c r="IB220" s="1417"/>
      <c r="IC220" s="1417"/>
      <c r="ID220" s="1417"/>
      <c r="IE220" s="1417"/>
      <c r="IF220" s="1417"/>
      <c r="IG220" s="1417"/>
      <c r="IH220" s="1417"/>
      <c r="II220" s="1417"/>
      <c r="IJ220" s="1417"/>
      <c r="IK220" s="1417"/>
      <c r="IL220" s="1417"/>
      <c r="IM220" s="1417"/>
      <c r="IN220" s="1417"/>
      <c r="IO220" s="1417"/>
      <c r="IP220" s="1417"/>
      <c r="IQ220" s="1417"/>
      <c r="IR220" s="1417"/>
      <c r="IS220" s="1417"/>
      <c r="IT220" s="1417"/>
      <c r="IU220" s="1417"/>
      <c r="IV220" s="1417"/>
    </row>
    <row r="221" spans="1:256" ht="18" customHeight="1" thickBot="1" x14ac:dyDescent="0.35">
      <c r="A221" s="1403">
        <v>212</v>
      </c>
      <c r="B221" s="1579"/>
      <c r="C221" s="1579"/>
      <c r="D221" s="1580" t="s">
        <v>101</v>
      </c>
      <c r="E221" s="1581">
        <f>SUM(E217:E220)</f>
        <v>85980</v>
      </c>
      <c r="F221" s="1417"/>
      <c r="G221" s="1417"/>
      <c r="H221" s="1417"/>
      <c r="I221" s="1417"/>
      <c r="J221" s="1417"/>
      <c r="K221" s="1417"/>
      <c r="L221" s="1418"/>
      <c r="M221" s="1417"/>
      <c r="N221" s="1417"/>
      <c r="O221" s="1417"/>
      <c r="P221" s="1417"/>
      <c r="Q221" s="1417"/>
      <c r="R221" s="1417"/>
      <c r="S221" s="1417"/>
      <c r="T221" s="1417"/>
      <c r="U221" s="1417"/>
      <c r="V221" s="1417"/>
      <c r="W221" s="1417"/>
      <c r="X221" s="1417"/>
      <c r="Y221" s="1417"/>
      <c r="Z221" s="1417"/>
      <c r="AA221" s="1417"/>
      <c r="AB221" s="1417"/>
      <c r="AC221" s="1417"/>
      <c r="AD221" s="1417"/>
      <c r="AE221" s="1417"/>
      <c r="AF221" s="1417"/>
      <c r="AG221" s="1417"/>
      <c r="AH221" s="1417"/>
      <c r="AI221" s="1417"/>
      <c r="AJ221" s="1417"/>
      <c r="AK221" s="1417"/>
      <c r="AL221" s="1417"/>
      <c r="AM221" s="1417"/>
      <c r="AN221" s="1417"/>
      <c r="AO221" s="1417"/>
      <c r="AP221" s="1417"/>
      <c r="AQ221" s="1417"/>
      <c r="AR221" s="1417"/>
      <c r="AS221" s="1417"/>
      <c r="AT221" s="1417"/>
      <c r="AU221" s="1417"/>
      <c r="AV221" s="1417"/>
      <c r="AW221" s="1417"/>
      <c r="AX221" s="1417"/>
      <c r="AY221" s="1417"/>
      <c r="AZ221" s="1417"/>
      <c r="BA221" s="1417"/>
      <c r="BB221" s="1417"/>
      <c r="BC221" s="1417"/>
      <c r="BD221" s="1417"/>
      <c r="BE221" s="1417"/>
      <c r="BF221" s="1417"/>
      <c r="BG221" s="1417"/>
      <c r="BH221" s="1417"/>
      <c r="BI221" s="1417"/>
      <c r="BJ221" s="1417"/>
      <c r="BK221" s="1417"/>
      <c r="BL221" s="1417"/>
      <c r="BM221" s="1417"/>
      <c r="BN221" s="1417"/>
      <c r="BO221" s="1417"/>
      <c r="BP221" s="1417"/>
      <c r="BQ221" s="1417"/>
      <c r="BR221" s="1417"/>
      <c r="BS221" s="1417"/>
      <c r="BT221" s="1417"/>
      <c r="BU221" s="1417"/>
      <c r="BV221" s="1417"/>
      <c r="BW221" s="1417"/>
      <c r="BX221" s="1417"/>
      <c r="BY221" s="1417"/>
      <c r="BZ221" s="1417"/>
      <c r="CA221" s="1417"/>
      <c r="CB221" s="1417"/>
      <c r="CC221" s="1417"/>
      <c r="CD221" s="1417"/>
      <c r="CE221" s="1417"/>
      <c r="CF221" s="1417"/>
      <c r="CG221" s="1417"/>
      <c r="CH221" s="1417"/>
      <c r="CI221" s="1417"/>
      <c r="CJ221" s="1417"/>
      <c r="CK221" s="1417"/>
      <c r="CL221" s="1417"/>
      <c r="CM221" s="1417"/>
      <c r="CN221" s="1417"/>
      <c r="CO221" s="1417"/>
      <c r="CP221" s="1417"/>
      <c r="CQ221" s="1417"/>
      <c r="CR221" s="1417"/>
      <c r="CS221" s="1417"/>
      <c r="CT221" s="1417"/>
      <c r="CU221" s="1417"/>
      <c r="CV221" s="1417"/>
      <c r="CW221" s="1417"/>
      <c r="CX221" s="1417"/>
      <c r="CY221" s="1417"/>
      <c r="CZ221" s="1417"/>
      <c r="DA221" s="1417"/>
      <c r="DB221" s="1417"/>
      <c r="DC221" s="1417"/>
      <c r="DD221" s="1417"/>
      <c r="DE221" s="1417"/>
      <c r="DF221" s="1417"/>
      <c r="DG221" s="1417"/>
      <c r="DH221" s="1417"/>
      <c r="DI221" s="1417"/>
      <c r="DJ221" s="1417"/>
      <c r="DK221" s="1417"/>
      <c r="DL221" s="1417"/>
      <c r="DM221" s="1417"/>
      <c r="DN221" s="1417"/>
      <c r="DO221" s="1417"/>
      <c r="DP221" s="1417"/>
      <c r="DQ221" s="1417"/>
      <c r="DR221" s="1417"/>
      <c r="DS221" s="1417"/>
      <c r="DT221" s="1417"/>
      <c r="DU221" s="1417"/>
      <c r="DV221" s="1417"/>
      <c r="DW221" s="1417"/>
      <c r="DX221" s="1417"/>
      <c r="DY221" s="1417"/>
      <c r="DZ221" s="1417"/>
      <c r="EA221" s="1417"/>
      <c r="EB221" s="1417"/>
      <c r="EC221" s="1417"/>
      <c r="ED221" s="1417"/>
      <c r="EE221" s="1417"/>
      <c r="EF221" s="1417"/>
      <c r="EG221" s="1417"/>
      <c r="EH221" s="1417"/>
      <c r="EI221" s="1417"/>
      <c r="EJ221" s="1417"/>
      <c r="EK221" s="1417"/>
      <c r="EL221" s="1417"/>
      <c r="EM221" s="1417"/>
      <c r="EN221" s="1417"/>
      <c r="EO221" s="1417"/>
      <c r="EP221" s="1417"/>
      <c r="EQ221" s="1417"/>
      <c r="ER221" s="1417"/>
      <c r="ES221" s="1417"/>
      <c r="ET221" s="1417"/>
      <c r="EU221" s="1417"/>
      <c r="EV221" s="1417"/>
      <c r="EW221" s="1417"/>
      <c r="EX221" s="1417"/>
      <c r="EY221" s="1417"/>
      <c r="EZ221" s="1417"/>
      <c r="FA221" s="1417"/>
      <c r="FB221" s="1417"/>
      <c r="FC221" s="1417"/>
      <c r="FD221" s="1417"/>
      <c r="FE221" s="1417"/>
      <c r="FF221" s="1417"/>
      <c r="FG221" s="1417"/>
      <c r="FH221" s="1417"/>
      <c r="FI221" s="1417"/>
      <c r="FJ221" s="1417"/>
      <c r="FK221" s="1417"/>
      <c r="FL221" s="1417"/>
      <c r="FM221" s="1417"/>
      <c r="FN221" s="1417"/>
      <c r="FO221" s="1417"/>
      <c r="FP221" s="1417"/>
      <c r="FQ221" s="1417"/>
      <c r="FR221" s="1417"/>
      <c r="FS221" s="1417"/>
      <c r="FT221" s="1417"/>
      <c r="FU221" s="1417"/>
      <c r="FV221" s="1417"/>
      <c r="FW221" s="1417"/>
      <c r="FX221" s="1417"/>
      <c r="FY221" s="1417"/>
      <c r="FZ221" s="1417"/>
      <c r="GA221" s="1417"/>
      <c r="GB221" s="1417"/>
      <c r="GC221" s="1417"/>
      <c r="GD221" s="1417"/>
      <c r="GE221" s="1417"/>
      <c r="GF221" s="1417"/>
      <c r="GG221" s="1417"/>
      <c r="GH221" s="1417"/>
      <c r="GI221" s="1417"/>
      <c r="GJ221" s="1417"/>
      <c r="GK221" s="1417"/>
      <c r="GL221" s="1417"/>
      <c r="GM221" s="1417"/>
      <c r="GN221" s="1417"/>
      <c r="GO221" s="1417"/>
      <c r="GP221" s="1417"/>
      <c r="GQ221" s="1417"/>
      <c r="GR221" s="1417"/>
      <c r="GS221" s="1417"/>
      <c r="GT221" s="1417"/>
      <c r="GU221" s="1417"/>
      <c r="GV221" s="1417"/>
      <c r="GW221" s="1417"/>
      <c r="GX221" s="1417"/>
      <c r="GY221" s="1417"/>
      <c r="GZ221" s="1417"/>
      <c r="HA221" s="1417"/>
      <c r="HB221" s="1417"/>
      <c r="HC221" s="1417"/>
      <c r="HD221" s="1417"/>
      <c r="HE221" s="1417"/>
      <c r="HF221" s="1417"/>
      <c r="HG221" s="1417"/>
      <c r="HH221" s="1417"/>
      <c r="HI221" s="1417"/>
      <c r="HJ221" s="1417"/>
      <c r="HK221" s="1417"/>
      <c r="HL221" s="1417"/>
      <c r="HM221" s="1417"/>
      <c r="HN221" s="1417"/>
      <c r="HO221" s="1417"/>
      <c r="HP221" s="1417"/>
      <c r="HQ221" s="1417"/>
      <c r="HR221" s="1417"/>
      <c r="HS221" s="1417"/>
      <c r="HT221" s="1417"/>
      <c r="HU221" s="1417"/>
      <c r="HV221" s="1417"/>
      <c r="HW221" s="1417"/>
      <c r="HX221" s="1417"/>
      <c r="HY221" s="1417"/>
      <c r="HZ221" s="1417"/>
      <c r="IA221" s="1417"/>
      <c r="IB221" s="1417"/>
      <c r="IC221" s="1417"/>
      <c r="ID221" s="1417"/>
      <c r="IE221" s="1417"/>
      <c r="IF221" s="1417"/>
      <c r="IG221" s="1417"/>
      <c r="IH221" s="1417"/>
      <c r="II221" s="1417"/>
      <c r="IJ221" s="1417"/>
      <c r="IK221" s="1417"/>
      <c r="IL221" s="1417"/>
      <c r="IM221" s="1417"/>
      <c r="IN221" s="1417"/>
      <c r="IO221" s="1417"/>
      <c r="IP221" s="1417"/>
      <c r="IQ221" s="1417"/>
      <c r="IR221" s="1417"/>
      <c r="IS221" s="1417"/>
      <c r="IT221" s="1417"/>
      <c r="IU221" s="1417"/>
      <c r="IV221" s="1417"/>
    </row>
    <row r="222" spans="1:256" ht="19.5" customHeight="1" thickTop="1" thickBot="1" x14ac:dyDescent="0.35">
      <c r="A222" s="1403">
        <v>213</v>
      </c>
      <c r="B222" s="1584"/>
      <c r="C222" s="1584"/>
      <c r="D222" s="1585" t="s">
        <v>771</v>
      </c>
      <c r="E222" s="1586">
        <f>E214+E221</f>
        <v>4083805</v>
      </c>
      <c r="F222" s="1"/>
      <c r="G222" s="136"/>
      <c r="H222" s="1"/>
      <c r="I222" s="1"/>
      <c r="J222" s="1"/>
      <c r="K222" s="1"/>
      <c r="L222" s="1"/>
      <c r="M222" s="1"/>
      <c r="N222" s="1"/>
      <c r="O222" s="1"/>
      <c r="P222" s="1"/>
      <c r="Q222" s="1"/>
      <c r="R222" s="1"/>
      <c r="S222" s="1"/>
      <c r="T222" s="1"/>
      <c r="U222" s="1"/>
      <c r="V222" s="1"/>
      <c r="W222" s="1"/>
      <c r="X222" s="1"/>
      <c r="Y222" s="1"/>
      <c r="Z222" s="1"/>
      <c r="AA222" s="1"/>
      <c r="AB222" s="1"/>
      <c r="AC222" s="1"/>
      <c r="AD222" s="1"/>
      <c r="AE222" s="1"/>
      <c r="AF222" s="1"/>
      <c r="AG222" s="1"/>
      <c r="AH222" s="1"/>
      <c r="AI222" s="1"/>
      <c r="AJ222" s="1"/>
      <c r="AK222" s="1"/>
      <c r="AL222" s="1"/>
      <c r="AM222" s="1"/>
      <c r="AN222" s="1"/>
      <c r="AO222" s="1"/>
      <c r="AP222" s="1"/>
      <c r="AQ222" s="1"/>
      <c r="AR222" s="1"/>
      <c r="AS222" s="1"/>
      <c r="AT222" s="1"/>
      <c r="AU222" s="1"/>
      <c r="AV222" s="1"/>
      <c r="AW222" s="1"/>
      <c r="AX222" s="1"/>
      <c r="AY222" s="1"/>
      <c r="AZ222" s="1"/>
      <c r="BA222" s="1"/>
      <c r="BB222" s="1"/>
      <c r="BC222" s="1"/>
      <c r="BD222" s="1"/>
      <c r="BE222" s="1"/>
      <c r="BF222" s="1"/>
      <c r="BG222" s="1"/>
      <c r="BH222" s="1"/>
      <c r="BI222" s="1"/>
      <c r="BJ222" s="1"/>
      <c r="BK222" s="1"/>
      <c r="BL222" s="1"/>
      <c r="BM222" s="1"/>
      <c r="BN222" s="1"/>
      <c r="BO222" s="1"/>
      <c r="BP222" s="1"/>
      <c r="BQ222" s="1"/>
      <c r="BR222" s="1"/>
      <c r="BS222" s="1"/>
      <c r="BT222" s="1"/>
      <c r="BU222" s="1"/>
      <c r="BV222" s="1"/>
      <c r="BW222" s="1"/>
      <c r="BX222" s="1"/>
      <c r="BY222" s="1"/>
      <c r="BZ222" s="1"/>
      <c r="CA222" s="1"/>
      <c r="CB222" s="1"/>
      <c r="CC222" s="1"/>
      <c r="CD222" s="1"/>
      <c r="CE222" s="1"/>
      <c r="CF222" s="1"/>
      <c r="CG222" s="1"/>
      <c r="CH222" s="1"/>
      <c r="CI222" s="1"/>
      <c r="CJ222" s="1"/>
      <c r="CK222" s="1"/>
      <c r="CL222" s="1"/>
      <c r="CM222" s="1"/>
      <c r="CN222" s="1"/>
      <c r="CO222" s="1"/>
      <c r="CP222" s="1"/>
      <c r="CQ222" s="1"/>
      <c r="CR222" s="1"/>
      <c r="CS222" s="1"/>
      <c r="CT222" s="1"/>
      <c r="CU222" s="1"/>
      <c r="CV222" s="1"/>
      <c r="CW222" s="1"/>
      <c r="CX222" s="1"/>
      <c r="CY222" s="1"/>
      <c r="CZ222" s="1"/>
      <c r="DA222" s="1"/>
      <c r="DB222" s="1"/>
      <c r="DC222" s="1"/>
      <c r="DD222" s="1"/>
      <c r="DE222" s="1"/>
      <c r="DF222" s="1"/>
      <c r="DG222" s="1"/>
      <c r="DH222" s="1"/>
      <c r="DI222" s="1"/>
      <c r="DJ222" s="1"/>
      <c r="DK222" s="1"/>
      <c r="DL222" s="1"/>
      <c r="DM222" s="1"/>
      <c r="DN222" s="1"/>
      <c r="DO222" s="1"/>
      <c r="DP222" s="1"/>
      <c r="DQ222" s="1"/>
      <c r="DR222" s="1"/>
      <c r="DS222" s="1"/>
      <c r="DT222" s="1"/>
      <c r="DU222" s="1"/>
      <c r="DV222" s="1"/>
      <c r="DW222" s="1"/>
      <c r="DX222" s="1"/>
      <c r="DY222" s="1"/>
      <c r="DZ222" s="1"/>
      <c r="EA222" s="1"/>
      <c r="EB222" s="1"/>
      <c r="EC222" s="1"/>
      <c r="ED222" s="1"/>
      <c r="EE222" s="1"/>
      <c r="EF222" s="1"/>
      <c r="EG222" s="1"/>
      <c r="EH222" s="1"/>
      <c r="EI222" s="1"/>
      <c r="EJ222" s="1"/>
      <c r="EK222" s="1"/>
      <c r="EL222" s="1"/>
      <c r="EM222" s="1"/>
      <c r="EN222" s="1"/>
      <c r="EO222" s="1"/>
      <c r="EP222" s="1"/>
      <c r="EQ222" s="1"/>
      <c r="ER222" s="1"/>
      <c r="ES222" s="1"/>
      <c r="ET222" s="1"/>
      <c r="EU222" s="1"/>
      <c r="EV222" s="1"/>
      <c r="EW222" s="1"/>
      <c r="EX222" s="1"/>
      <c r="EY222" s="1"/>
      <c r="EZ222" s="1"/>
      <c r="FA222" s="1"/>
      <c r="FB222" s="1"/>
      <c r="FC222" s="1"/>
      <c r="FD222" s="1"/>
      <c r="FE222" s="1"/>
      <c r="FF222" s="1"/>
      <c r="FG222" s="1"/>
      <c r="FH222" s="1"/>
      <c r="FI222" s="1"/>
      <c r="FJ222" s="1"/>
      <c r="FK222" s="1"/>
      <c r="FL222" s="1"/>
      <c r="FM222" s="1"/>
      <c r="FN222" s="1"/>
      <c r="FO222" s="1"/>
      <c r="FP222" s="1"/>
      <c r="FQ222" s="1"/>
      <c r="FR222" s="1"/>
      <c r="FS222" s="1"/>
      <c r="FT222" s="1"/>
      <c r="FU222" s="1"/>
      <c r="FV222" s="1"/>
      <c r="FW222" s="1"/>
      <c r="FX222" s="1"/>
      <c r="FY222" s="1"/>
      <c r="FZ222" s="1"/>
      <c r="GA222" s="1"/>
      <c r="GB222" s="1"/>
      <c r="GC222" s="1"/>
      <c r="GD222" s="1"/>
      <c r="GE222" s="1"/>
      <c r="GF222" s="1"/>
      <c r="GG222" s="1"/>
      <c r="GH222" s="1"/>
      <c r="GI222" s="1"/>
      <c r="GJ222" s="1"/>
      <c r="GK222" s="1"/>
      <c r="GL222" s="1"/>
      <c r="GM222" s="1"/>
      <c r="GN222" s="1"/>
      <c r="GO222" s="1"/>
      <c r="GP222" s="1"/>
      <c r="GQ222" s="1"/>
      <c r="GR222" s="1"/>
      <c r="GS222" s="1"/>
      <c r="GT222" s="1"/>
      <c r="GU222" s="1"/>
      <c r="GV222" s="1"/>
      <c r="GW222" s="1"/>
      <c r="GX222" s="1"/>
      <c r="GY222" s="1"/>
      <c r="GZ222" s="1"/>
      <c r="HA222" s="1"/>
      <c r="HB222" s="1"/>
      <c r="HC222" s="1"/>
      <c r="HD222" s="1"/>
      <c r="HE222" s="1"/>
      <c r="HF222" s="1"/>
      <c r="HG222" s="1"/>
      <c r="HH222" s="1"/>
      <c r="HI222" s="1"/>
      <c r="HJ222" s="1"/>
      <c r="HK222" s="1"/>
      <c r="HL222" s="1"/>
      <c r="HM222" s="1"/>
      <c r="HN222" s="1"/>
      <c r="HO222" s="1"/>
      <c r="HP222" s="1"/>
      <c r="HQ222" s="1"/>
      <c r="HR222" s="1"/>
      <c r="HS222" s="1"/>
      <c r="HT222" s="1"/>
      <c r="HU222" s="1"/>
      <c r="HV222" s="1"/>
      <c r="HW222" s="1"/>
      <c r="HX222" s="1"/>
      <c r="HY222" s="1"/>
      <c r="HZ222" s="1"/>
      <c r="IA222" s="1"/>
      <c r="IB222" s="1"/>
      <c r="IC222" s="1"/>
      <c r="ID222" s="1"/>
      <c r="IE222" s="1"/>
      <c r="IF222" s="1"/>
      <c r="IG222" s="1"/>
      <c r="IH222" s="1"/>
      <c r="II222" s="1"/>
      <c r="IJ222" s="1"/>
      <c r="IK222" s="1"/>
      <c r="IL222" s="1"/>
      <c r="IM222" s="1"/>
      <c r="IN222" s="1"/>
      <c r="IO222" s="1"/>
      <c r="IP222" s="1"/>
      <c r="IQ222" s="1"/>
      <c r="IR222" s="1"/>
      <c r="IS222" s="1"/>
      <c r="IT222" s="1"/>
      <c r="IU222" s="1"/>
      <c r="IV222" s="1"/>
    </row>
    <row r="223" spans="1:256" ht="28.5" customHeight="1" thickTop="1" x14ac:dyDescent="0.35">
      <c r="A223" s="1403">
        <v>214</v>
      </c>
      <c r="B223" s="64"/>
      <c r="C223" s="1414" t="s">
        <v>745</v>
      </c>
      <c r="D223" s="1559" t="s">
        <v>772</v>
      </c>
      <c r="E223" s="953"/>
      <c r="F223" s="64"/>
      <c r="G223" s="64"/>
      <c r="H223" s="64"/>
      <c r="I223" s="64"/>
      <c r="J223" s="64"/>
      <c r="K223" s="64"/>
      <c r="L223" s="64"/>
      <c r="M223" s="64"/>
      <c r="N223" s="64"/>
      <c r="O223" s="64"/>
      <c r="P223" s="64"/>
      <c r="Q223" s="64"/>
      <c r="R223" s="64"/>
      <c r="S223" s="64"/>
      <c r="T223" s="64"/>
      <c r="U223" s="64"/>
      <c r="V223" s="64"/>
      <c r="W223" s="64"/>
      <c r="X223" s="64"/>
      <c r="Y223" s="64"/>
      <c r="Z223" s="64"/>
      <c r="AA223" s="64"/>
      <c r="AB223" s="64"/>
      <c r="AC223" s="64"/>
      <c r="AD223" s="64"/>
      <c r="AE223" s="64"/>
      <c r="AF223" s="64"/>
      <c r="AG223" s="64"/>
      <c r="AH223" s="64"/>
      <c r="AI223" s="64"/>
      <c r="AJ223" s="64"/>
      <c r="AK223" s="64"/>
      <c r="AL223" s="64"/>
      <c r="AM223" s="64"/>
      <c r="AN223" s="64"/>
      <c r="AO223" s="64"/>
      <c r="AP223" s="64"/>
      <c r="AQ223" s="64"/>
      <c r="AR223" s="64"/>
      <c r="AS223" s="64"/>
      <c r="AT223" s="64"/>
      <c r="AU223" s="64"/>
      <c r="AV223" s="64"/>
      <c r="AW223" s="64"/>
      <c r="AX223" s="64"/>
      <c r="AY223" s="64"/>
      <c r="AZ223" s="64"/>
      <c r="BA223" s="64"/>
      <c r="BB223" s="64"/>
      <c r="BC223" s="64"/>
      <c r="BD223" s="64"/>
      <c r="BE223" s="64"/>
      <c r="BF223" s="64"/>
      <c r="BG223" s="64"/>
      <c r="BH223" s="64"/>
      <c r="BI223" s="64"/>
      <c r="BJ223" s="64"/>
      <c r="BK223" s="64"/>
      <c r="BL223" s="64"/>
      <c r="BM223" s="64"/>
      <c r="BN223" s="64"/>
      <c r="BO223" s="64"/>
      <c r="BP223" s="64"/>
      <c r="BQ223" s="64"/>
      <c r="BR223" s="64"/>
      <c r="BS223" s="64"/>
      <c r="BT223" s="64"/>
      <c r="BU223" s="64"/>
      <c r="BV223" s="64"/>
      <c r="BW223" s="64"/>
      <c r="BX223" s="64"/>
      <c r="BY223" s="64"/>
      <c r="BZ223" s="64"/>
      <c r="CA223" s="64"/>
      <c r="CB223" s="64"/>
      <c r="CC223" s="64"/>
      <c r="CD223" s="64"/>
      <c r="CE223" s="64"/>
      <c r="CF223" s="64"/>
      <c r="CG223" s="64"/>
      <c r="CH223" s="64"/>
      <c r="CI223" s="64"/>
      <c r="CJ223" s="64"/>
      <c r="CK223" s="64"/>
      <c r="CL223" s="64"/>
      <c r="CM223" s="64"/>
      <c r="CN223" s="64"/>
      <c r="CO223" s="64"/>
      <c r="CP223" s="64"/>
      <c r="CQ223" s="64"/>
      <c r="CR223" s="64"/>
      <c r="CS223" s="64"/>
      <c r="CT223" s="64"/>
      <c r="CU223" s="64"/>
      <c r="CV223" s="64"/>
      <c r="CW223" s="64"/>
      <c r="CX223" s="64"/>
      <c r="CY223" s="64"/>
      <c r="CZ223" s="64"/>
      <c r="DA223" s="64"/>
      <c r="DB223" s="64"/>
      <c r="DC223" s="64"/>
      <c r="DD223" s="64"/>
      <c r="DE223" s="64"/>
      <c r="DF223" s="64"/>
      <c r="DG223" s="64"/>
      <c r="DH223" s="64"/>
      <c r="DI223" s="64"/>
      <c r="DJ223" s="64"/>
      <c r="DK223" s="64"/>
      <c r="DL223" s="64"/>
      <c r="DM223" s="64"/>
      <c r="DN223" s="64"/>
      <c r="DO223" s="64"/>
      <c r="DP223" s="64"/>
      <c r="DQ223" s="64"/>
      <c r="DR223" s="64"/>
      <c r="DS223" s="64"/>
      <c r="DT223" s="64"/>
      <c r="DU223" s="64"/>
      <c r="DV223" s="64"/>
      <c r="DW223" s="64"/>
      <c r="DX223" s="64"/>
      <c r="DY223" s="64"/>
      <c r="DZ223" s="64"/>
      <c r="EA223" s="64"/>
      <c r="EB223" s="64"/>
      <c r="EC223" s="64"/>
      <c r="ED223" s="64"/>
      <c r="EE223" s="64"/>
      <c r="EF223" s="64"/>
      <c r="EG223" s="64"/>
      <c r="EH223" s="64"/>
      <c r="EI223" s="64"/>
      <c r="EJ223" s="64"/>
      <c r="EK223" s="64"/>
      <c r="EL223" s="64"/>
      <c r="EM223" s="64"/>
      <c r="EN223" s="64"/>
      <c r="EO223" s="64"/>
      <c r="EP223" s="64"/>
      <c r="EQ223" s="64"/>
      <c r="ER223" s="64"/>
      <c r="ES223" s="64"/>
      <c r="ET223" s="64"/>
      <c r="EU223" s="64"/>
      <c r="EV223" s="64"/>
      <c r="EW223" s="64"/>
      <c r="EX223" s="64"/>
      <c r="EY223" s="64"/>
      <c r="EZ223" s="64"/>
      <c r="FA223" s="64"/>
      <c r="FB223" s="64"/>
      <c r="FC223" s="64"/>
      <c r="FD223" s="64"/>
      <c r="FE223" s="64"/>
      <c r="FF223" s="64"/>
      <c r="FG223" s="64"/>
      <c r="FH223" s="64"/>
      <c r="FI223" s="64"/>
      <c r="FJ223" s="64"/>
      <c r="FK223" s="64"/>
      <c r="FL223" s="64"/>
      <c r="FM223" s="64"/>
      <c r="FN223" s="64"/>
      <c r="FO223" s="64"/>
      <c r="FP223" s="64"/>
      <c r="FQ223" s="64"/>
      <c r="FR223" s="64"/>
      <c r="FS223" s="64"/>
      <c r="FT223" s="64"/>
      <c r="FU223" s="64"/>
      <c r="FV223" s="64"/>
      <c r="FW223" s="64"/>
      <c r="FX223" s="64"/>
      <c r="FY223" s="64"/>
      <c r="FZ223" s="64"/>
      <c r="GA223" s="64"/>
      <c r="GB223" s="64"/>
      <c r="GC223" s="64"/>
      <c r="GD223" s="64"/>
      <c r="GE223" s="64"/>
      <c r="GF223" s="64"/>
      <c r="GG223" s="64"/>
      <c r="GH223" s="64"/>
      <c r="GI223" s="64"/>
      <c r="GJ223" s="64"/>
      <c r="GK223" s="64"/>
      <c r="GL223" s="64"/>
      <c r="GM223" s="64"/>
      <c r="GN223" s="64"/>
      <c r="GO223" s="64"/>
      <c r="GP223" s="64"/>
      <c r="GQ223" s="64"/>
      <c r="GR223" s="64"/>
      <c r="GS223" s="64"/>
      <c r="GT223" s="64"/>
      <c r="GU223" s="64"/>
      <c r="GV223" s="64"/>
      <c r="GW223" s="64"/>
      <c r="GX223" s="64"/>
      <c r="GY223" s="64"/>
      <c r="GZ223" s="64"/>
      <c r="HA223" s="64"/>
      <c r="HB223" s="64"/>
      <c r="HC223" s="64"/>
      <c r="HD223" s="64"/>
      <c r="HE223" s="64"/>
      <c r="HF223" s="64"/>
      <c r="HG223" s="64"/>
      <c r="HH223" s="64"/>
      <c r="HI223" s="64"/>
      <c r="HJ223" s="64"/>
      <c r="HK223" s="64"/>
      <c r="HL223" s="64"/>
      <c r="HM223" s="64"/>
      <c r="HN223" s="64"/>
      <c r="HO223" s="64"/>
      <c r="HP223" s="64"/>
      <c r="HQ223" s="64"/>
      <c r="HR223" s="64"/>
      <c r="HS223" s="64"/>
      <c r="HT223" s="64"/>
      <c r="HU223" s="64"/>
      <c r="HV223" s="64"/>
      <c r="HW223" s="64"/>
      <c r="HX223" s="64"/>
      <c r="HY223" s="64"/>
      <c r="HZ223" s="64"/>
      <c r="IA223" s="64"/>
      <c r="IB223" s="64"/>
      <c r="IC223" s="64"/>
      <c r="ID223" s="64"/>
      <c r="IE223" s="64"/>
      <c r="IF223" s="64"/>
      <c r="IG223" s="64"/>
      <c r="IH223" s="64"/>
      <c r="II223" s="64"/>
      <c r="IJ223" s="64"/>
      <c r="IK223" s="64"/>
      <c r="IL223" s="64"/>
      <c r="IM223" s="64"/>
      <c r="IN223" s="64"/>
      <c r="IO223" s="64"/>
      <c r="IP223" s="64"/>
      <c r="IQ223" s="64"/>
      <c r="IR223" s="64"/>
      <c r="IS223" s="64"/>
      <c r="IT223" s="64"/>
      <c r="IU223" s="64"/>
      <c r="IV223" s="64"/>
    </row>
    <row r="224" spans="1:256" ht="24.75" customHeight="1" x14ac:dyDescent="0.35">
      <c r="A224" s="1403">
        <v>215</v>
      </c>
      <c r="B224" s="64"/>
      <c r="C224" s="1407"/>
      <c r="D224" s="1559" t="s">
        <v>35</v>
      </c>
      <c r="E224" s="953"/>
      <c r="F224" s="64"/>
      <c r="G224" s="64"/>
      <c r="H224" s="64"/>
      <c r="I224" s="64"/>
      <c r="J224" s="64"/>
      <c r="K224" s="64"/>
      <c r="L224" s="64"/>
      <c r="M224" s="64"/>
      <c r="N224" s="64"/>
      <c r="O224" s="64"/>
      <c r="P224" s="64"/>
      <c r="Q224" s="64"/>
      <c r="R224" s="64"/>
      <c r="S224" s="64"/>
      <c r="T224" s="64"/>
      <c r="U224" s="64"/>
      <c r="V224" s="64"/>
      <c r="W224" s="64"/>
      <c r="X224" s="64"/>
      <c r="Y224" s="64"/>
      <c r="Z224" s="64"/>
      <c r="AA224" s="64"/>
      <c r="AB224" s="64"/>
      <c r="AC224" s="64"/>
      <c r="AD224" s="64"/>
      <c r="AE224" s="64"/>
      <c r="AF224" s="64"/>
      <c r="AG224" s="64"/>
      <c r="AH224" s="64"/>
      <c r="AI224" s="64"/>
      <c r="AJ224" s="64"/>
      <c r="AK224" s="64"/>
      <c r="AL224" s="64"/>
      <c r="AM224" s="64"/>
      <c r="AN224" s="64"/>
      <c r="AO224" s="64"/>
      <c r="AP224" s="64"/>
      <c r="AQ224" s="64"/>
      <c r="AR224" s="64"/>
      <c r="AS224" s="64"/>
      <c r="AT224" s="64"/>
      <c r="AU224" s="64"/>
      <c r="AV224" s="64"/>
      <c r="AW224" s="64"/>
      <c r="AX224" s="64"/>
      <c r="AY224" s="64"/>
      <c r="AZ224" s="64"/>
      <c r="BA224" s="64"/>
      <c r="BB224" s="64"/>
      <c r="BC224" s="64"/>
      <c r="BD224" s="64"/>
      <c r="BE224" s="64"/>
      <c r="BF224" s="64"/>
      <c r="BG224" s="64"/>
      <c r="BH224" s="64"/>
      <c r="BI224" s="64"/>
      <c r="BJ224" s="64"/>
      <c r="BK224" s="64"/>
      <c r="BL224" s="64"/>
      <c r="BM224" s="64"/>
      <c r="BN224" s="64"/>
      <c r="BO224" s="64"/>
      <c r="BP224" s="64"/>
      <c r="BQ224" s="64"/>
      <c r="BR224" s="64"/>
      <c r="BS224" s="64"/>
      <c r="BT224" s="64"/>
      <c r="BU224" s="64"/>
      <c r="BV224" s="64"/>
      <c r="BW224" s="64"/>
      <c r="BX224" s="64"/>
      <c r="BY224" s="64"/>
      <c r="BZ224" s="64"/>
      <c r="CA224" s="64"/>
      <c r="CB224" s="64"/>
      <c r="CC224" s="64"/>
      <c r="CD224" s="64"/>
      <c r="CE224" s="64"/>
      <c r="CF224" s="64"/>
      <c r="CG224" s="64"/>
      <c r="CH224" s="64"/>
      <c r="CI224" s="64"/>
      <c r="CJ224" s="64"/>
      <c r="CK224" s="64"/>
      <c r="CL224" s="64"/>
      <c r="CM224" s="64"/>
      <c r="CN224" s="64"/>
      <c r="CO224" s="64"/>
      <c r="CP224" s="64"/>
      <c r="CQ224" s="64"/>
      <c r="CR224" s="64"/>
      <c r="CS224" s="64"/>
      <c r="CT224" s="64"/>
      <c r="CU224" s="64"/>
      <c r="CV224" s="64"/>
      <c r="CW224" s="64"/>
      <c r="CX224" s="64"/>
      <c r="CY224" s="64"/>
      <c r="CZ224" s="64"/>
      <c r="DA224" s="64"/>
      <c r="DB224" s="64"/>
      <c r="DC224" s="64"/>
      <c r="DD224" s="64"/>
      <c r="DE224" s="64"/>
      <c r="DF224" s="64"/>
      <c r="DG224" s="64"/>
      <c r="DH224" s="64"/>
      <c r="DI224" s="64"/>
      <c r="DJ224" s="64"/>
      <c r="DK224" s="64"/>
      <c r="DL224" s="64"/>
      <c r="DM224" s="64"/>
      <c r="DN224" s="64"/>
      <c r="DO224" s="64"/>
      <c r="DP224" s="64"/>
      <c r="DQ224" s="64"/>
      <c r="DR224" s="64"/>
      <c r="DS224" s="64"/>
      <c r="DT224" s="64"/>
      <c r="DU224" s="64"/>
      <c r="DV224" s="64"/>
      <c r="DW224" s="64"/>
      <c r="DX224" s="64"/>
      <c r="DY224" s="64"/>
      <c r="DZ224" s="64"/>
      <c r="EA224" s="64"/>
      <c r="EB224" s="64"/>
      <c r="EC224" s="64"/>
      <c r="ED224" s="64"/>
      <c r="EE224" s="64"/>
      <c r="EF224" s="64"/>
      <c r="EG224" s="64"/>
      <c r="EH224" s="64"/>
      <c r="EI224" s="64"/>
      <c r="EJ224" s="64"/>
      <c r="EK224" s="64"/>
      <c r="EL224" s="64"/>
      <c r="EM224" s="64"/>
      <c r="EN224" s="64"/>
      <c r="EO224" s="64"/>
      <c r="EP224" s="64"/>
      <c r="EQ224" s="64"/>
      <c r="ER224" s="64"/>
      <c r="ES224" s="64"/>
      <c r="ET224" s="64"/>
      <c r="EU224" s="64"/>
      <c r="EV224" s="64"/>
      <c r="EW224" s="64"/>
      <c r="EX224" s="64"/>
      <c r="EY224" s="64"/>
      <c r="EZ224" s="64"/>
      <c r="FA224" s="64"/>
      <c r="FB224" s="64"/>
      <c r="FC224" s="64"/>
      <c r="FD224" s="64"/>
      <c r="FE224" s="64"/>
      <c r="FF224" s="64"/>
      <c r="FG224" s="64"/>
      <c r="FH224" s="64"/>
      <c r="FI224" s="64"/>
      <c r="FJ224" s="64"/>
      <c r="FK224" s="64"/>
      <c r="FL224" s="64"/>
      <c r="FM224" s="64"/>
      <c r="FN224" s="64"/>
      <c r="FO224" s="64"/>
      <c r="FP224" s="64"/>
      <c r="FQ224" s="64"/>
      <c r="FR224" s="64"/>
      <c r="FS224" s="64"/>
      <c r="FT224" s="64"/>
      <c r="FU224" s="64"/>
      <c r="FV224" s="64"/>
      <c r="FW224" s="64"/>
      <c r="FX224" s="64"/>
      <c r="FY224" s="64"/>
      <c r="FZ224" s="64"/>
      <c r="GA224" s="64"/>
      <c r="GB224" s="64"/>
      <c r="GC224" s="64"/>
      <c r="GD224" s="64"/>
      <c r="GE224" s="64"/>
      <c r="GF224" s="64"/>
      <c r="GG224" s="64"/>
      <c r="GH224" s="64"/>
      <c r="GI224" s="64"/>
      <c r="GJ224" s="64"/>
      <c r="GK224" s="64"/>
      <c r="GL224" s="64"/>
      <c r="GM224" s="64"/>
      <c r="GN224" s="64"/>
      <c r="GO224" s="64"/>
      <c r="GP224" s="64"/>
      <c r="GQ224" s="64"/>
      <c r="GR224" s="64"/>
      <c r="GS224" s="64"/>
      <c r="GT224" s="64"/>
      <c r="GU224" s="64"/>
      <c r="GV224" s="64"/>
      <c r="GW224" s="64"/>
      <c r="GX224" s="64"/>
      <c r="GY224" s="64"/>
      <c r="GZ224" s="64"/>
      <c r="HA224" s="64"/>
      <c r="HB224" s="64"/>
      <c r="HC224" s="64"/>
      <c r="HD224" s="64"/>
      <c r="HE224" s="64"/>
      <c r="HF224" s="64"/>
      <c r="HG224" s="64"/>
      <c r="HH224" s="64"/>
      <c r="HI224" s="64"/>
      <c r="HJ224" s="64"/>
      <c r="HK224" s="64"/>
      <c r="HL224" s="64"/>
      <c r="HM224" s="64"/>
      <c r="HN224" s="64"/>
      <c r="HO224" s="64"/>
      <c r="HP224" s="64"/>
      <c r="HQ224" s="64"/>
      <c r="HR224" s="64"/>
      <c r="HS224" s="64"/>
      <c r="HT224" s="64"/>
      <c r="HU224" s="64"/>
      <c r="HV224" s="64"/>
      <c r="HW224" s="64"/>
      <c r="HX224" s="64"/>
      <c r="HY224" s="64"/>
      <c r="HZ224" s="64"/>
      <c r="IA224" s="64"/>
      <c r="IB224" s="64"/>
      <c r="IC224" s="64"/>
      <c r="ID224" s="64"/>
      <c r="IE224" s="64"/>
      <c r="IF224" s="64"/>
      <c r="IG224" s="64"/>
      <c r="IH224" s="64"/>
      <c r="II224" s="64"/>
      <c r="IJ224" s="64"/>
      <c r="IK224" s="64"/>
      <c r="IL224" s="64"/>
      <c r="IM224" s="64"/>
      <c r="IN224" s="64"/>
      <c r="IO224" s="64"/>
      <c r="IP224" s="64"/>
      <c r="IQ224" s="64"/>
      <c r="IR224" s="64"/>
      <c r="IS224" s="64"/>
      <c r="IT224" s="64"/>
      <c r="IU224" s="64"/>
      <c r="IV224" s="64"/>
    </row>
    <row r="225" spans="1:5" ht="22.5" customHeight="1" x14ac:dyDescent="0.35">
      <c r="A225" s="1403">
        <v>216</v>
      </c>
      <c r="C225" s="1412"/>
      <c r="D225" s="1406" t="s">
        <v>248</v>
      </c>
    </row>
    <row r="226" spans="1:5" ht="17.25" x14ac:dyDescent="0.3">
      <c r="A226" s="1403">
        <v>217</v>
      </c>
      <c r="C226" s="1412"/>
      <c r="D226" s="1556" t="s">
        <v>902</v>
      </c>
      <c r="E226" s="958">
        <v>1411</v>
      </c>
    </row>
    <row r="227" spans="1:5" ht="17.25" x14ac:dyDescent="0.3">
      <c r="A227" s="1403">
        <v>218</v>
      </c>
      <c r="C227" s="1412"/>
      <c r="D227" s="1556" t="s">
        <v>908</v>
      </c>
      <c r="E227" s="958">
        <v>3501</v>
      </c>
    </row>
    <row r="228" spans="1:5" ht="17.25" x14ac:dyDescent="0.3">
      <c r="A228" s="1403">
        <v>219</v>
      </c>
      <c r="C228" s="1412"/>
      <c r="D228" s="1556" t="s">
        <v>915</v>
      </c>
      <c r="E228" s="958">
        <v>-1000</v>
      </c>
    </row>
    <row r="229" spans="1:5" ht="22.5" customHeight="1" x14ac:dyDescent="0.35">
      <c r="A229" s="1403">
        <v>220</v>
      </c>
      <c r="C229" s="1412"/>
      <c r="D229" s="1406" t="s">
        <v>247</v>
      </c>
    </row>
    <row r="230" spans="1:5" ht="17.25" x14ac:dyDescent="0.3">
      <c r="A230" s="1403">
        <v>221</v>
      </c>
      <c r="C230" s="1412"/>
      <c r="D230" s="1556" t="s">
        <v>902</v>
      </c>
      <c r="E230" s="958">
        <v>2154</v>
      </c>
    </row>
    <row r="231" spans="1:5" ht="22.5" customHeight="1" x14ac:dyDescent="0.35">
      <c r="A231" s="1403">
        <v>222</v>
      </c>
      <c r="C231" s="1412"/>
      <c r="D231" s="1406" t="s">
        <v>216</v>
      </c>
    </row>
    <row r="232" spans="1:5" ht="17.25" x14ac:dyDescent="0.3">
      <c r="A232" s="1403">
        <v>223</v>
      </c>
      <c r="C232" s="1412"/>
      <c r="D232" s="1556" t="s">
        <v>902</v>
      </c>
      <c r="E232" s="958">
        <v>2182</v>
      </c>
    </row>
    <row r="233" spans="1:5" ht="17.25" x14ac:dyDescent="0.3">
      <c r="A233" s="1403">
        <v>224</v>
      </c>
      <c r="C233" s="1412"/>
      <c r="D233" s="1556" t="s">
        <v>908</v>
      </c>
      <c r="E233" s="958">
        <v>5361</v>
      </c>
    </row>
    <row r="234" spans="1:5" ht="17.25" x14ac:dyDescent="0.3">
      <c r="A234" s="1403">
        <v>225</v>
      </c>
      <c r="C234" s="1412"/>
      <c r="D234" s="1556" t="s">
        <v>899</v>
      </c>
      <c r="E234" s="958">
        <v>-1300</v>
      </c>
    </row>
    <row r="235" spans="1:5" ht="22.5" customHeight="1" x14ac:dyDescent="0.35">
      <c r="A235" s="1403">
        <v>226</v>
      </c>
      <c r="C235" s="1412"/>
      <c r="D235" s="1406" t="s">
        <v>218</v>
      </c>
    </row>
    <row r="236" spans="1:5" ht="17.25" x14ac:dyDescent="0.3">
      <c r="A236" s="1403">
        <v>227</v>
      </c>
      <c r="C236" s="1412"/>
      <c r="D236" s="1556" t="s">
        <v>902</v>
      </c>
      <c r="E236" s="958">
        <v>2290</v>
      </c>
    </row>
    <row r="237" spans="1:5" ht="17.25" x14ac:dyDescent="0.3">
      <c r="A237" s="1403">
        <v>228</v>
      </c>
      <c r="C237" s="1412"/>
      <c r="D237" s="1556" t="s">
        <v>908</v>
      </c>
      <c r="E237" s="958">
        <v>3014</v>
      </c>
    </row>
    <row r="238" spans="1:5" ht="17.25" x14ac:dyDescent="0.3">
      <c r="A238" s="1403">
        <v>229</v>
      </c>
      <c r="C238" s="1412"/>
      <c r="D238" s="1556" t="s">
        <v>1098</v>
      </c>
      <c r="E238" s="958">
        <v>200</v>
      </c>
    </row>
    <row r="239" spans="1:5" ht="22.5" customHeight="1" x14ac:dyDescent="0.35">
      <c r="A239" s="1403">
        <v>230</v>
      </c>
      <c r="C239" s="1412"/>
      <c r="D239" s="1406" t="s">
        <v>217</v>
      </c>
    </row>
    <row r="240" spans="1:5" ht="17.25" x14ac:dyDescent="0.3">
      <c r="A240" s="1403">
        <v>231</v>
      </c>
      <c r="C240" s="1412"/>
      <c r="D240" s="1556" t="s">
        <v>902</v>
      </c>
      <c r="E240" s="958">
        <v>2403</v>
      </c>
    </row>
    <row r="241" spans="1:7" ht="17.25" x14ac:dyDescent="0.3">
      <c r="A241" s="1403">
        <v>232</v>
      </c>
      <c r="C241" s="1412"/>
      <c r="D241" s="1556" t="s">
        <v>908</v>
      </c>
      <c r="E241" s="958">
        <v>5153</v>
      </c>
    </row>
    <row r="242" spans="1:7" ht="17.25" x14ac:dyDescent="0.3">
      <c r="A242" s="1403">
        <v>233</v>
      </c>
      <c r="C242" s="1412"/>
      <c r="D242" s="1556" t="s">
        <v>899</v>
      </c>
      <c r="E242" s="958">
        <f>-6000-1512</f>
        <v>-7512</v>
      </c>
    </row>
    <row r="243" spans="1:7" ht="17.25" x14ac:dyDescent="0.3">
      <c r="A243" s="1403">
        <v>234</v>
      </c>
      <c r="C243" s="1412"/>
      <c r="D243" s="1556" t="s">
        <v>935</v>
      </c>
      <c r="E243" s="958">
        <v>6000</v>
      </c>
    </row>
    <row r="244" spans="1:7" ht="22.5" customHeight="1" x14ac:dyDescent="0.35">
      <c r="A244" s="1403">
        <v>235</v>
      </c>
      <c r="C244" s="1412"/>
      <c r="D244" s="1406" t="s">
        <v>219</v>
      </c>
    </row>
    <row r="245" spans="1:7" ht="17.25" x14ac:dyDescent="0.3">
      <c r="A245" s="1403">
        <v>236</v>
      </c>
      <c r="C245" s="1412"/>
      <c r="D245" s="1556" t="s">
        <v>902</v>
      </c>
      <c r="E245" s="958">
        <v>1458</v>
      </c>
    </row>
    <row r="246" spans="1:7" ht="17.25" x14ac:dyDescent="0.3">
      <c r="A246" s="1403">
        <v>237</v>
      </c>
      <c r="C246" s="1412"/>
      <c r="D246" s="1556" t="s">
        <v>908</v>
      </c>
      <c r="E246" s="958">
        <v>797</v>
      </c>
    </row>
    <row r="247" spans="1:7" ht="17.25" x14ac:dyDescent="0.3">
      <c r="A247" s="1403">
        <v>238</v>
      </c>
      <c r="C247" s="1412"/>
      <c r="D247" s="1556" t="s">
        <v>979</v>
      </c>
      <c r="E247" s="958">
        <v>737</v>
      </c>
    </row>
    <row r="248" spans="1:7" ht="17.25" x14ac:dyDescent="0.3">
      <c r="A248" s="1403">
        <v>239</v>
      </c>
      <c r="C248" s="1412"/>
      <c r="D248" s="1556" t="s">
        <v>915</v>
      </c>
      <c r="E248" s="958">
        <v>-1275</v>
      </c>
    </row>
    <row r="249" spans="1:7" ht="22.5" customHeight="1" x14ac:dyDescent="0.35">
      <c r="A249" s="1403">
        <v>240</v>
      </c>
      <c r="C249" s="1412"/>
      <c r="D249" s="1406" t="s">
        <v>253</v>
      </c>
    </row>
    <row r="250" spans="1:7" ht="17.25" x14ac:dyDescent="0.3">
      <c r="A250" s="1403">
        <v>241</v>
      </c>
      <c r="C250" s="1412"/>
      <c r="D250" s="1556" t="s">
        <v>883</v>
      </c>
      <c r="E250" s="958">
        <v>2913</v>
      </c>
      <c r="G250" s="2"/>
    </row>
    <row r="251" spans="1:7" ht="30.75" customHeight="1" x14ac:dyDescent="0.3">
      <c r="A251" s="1403">
        <v>242</v>
      </c>
      <c r="C251" s="1412"/>
      <c r="D251" s="1556" t="s">
        <v>973</v>
      </c>
      <c r="E251" s="958">
        <v>35110</v>
      </c>
      <c r="G251" s="2"/>
    </row>
    <row r="252" spans="1:7" ht="18" customHeight="1" x14ac:dyDescent="0.3">
      <c r="A252" s="1403">
        <v>243</v>
      </c>
      <c r="C252" s="1412"/>
      <c r="D252" s="1556" t="s">
        <v>966</v>
      </c>
      <c r="E252" s="958">
        <v>192</v>
      </c>
    </row>
    <row r="253" spans="1:7" ht="22.5" customHeight="1" x14ac:dyDescent="0.35">
      <c r="A253" s="1403">
        <v>244</v>
      </c>
      <c r="C253" s="1412"/>
      <c r="D253" s="1406" t="s">
        <v>97</v>
      </c>
    </row>
    <row r="254" spans="1:7" ht="17.25" x14ac:dyDescent="0.3">
      <c r="A254" s="1403">
        <v>245</v>
      </c>
      <c r="C254" s="1412"/>
      <c r="D254" s="1556" t="s">
        <v>883</v>
      </c>
      <c r="E254" s="958">
        <v>2423</v>
      </c>
      <c r="G254" s="958"/>
    </row>
    <row r="255" spans="1:7" ht="18" customHeight="1" x14ac:dyDescent="0.3">
      <c r="A255" s="1403">
        <v>246</v>
      </c>
      <c r="C255" s="1412"/>
      <c r="D255" s="1556" t="s">
        <v>1001</v>
      </c>
      <c r="E255" s="958">
        <v>789</v>
      </c>
    </row>
    <row r="256" spans="1:7" ht="22.5" customHeight="1" x14ac:dyDescent="0.35">
      <c r="A256" s="1403">
        <v>247</v>
      </c>
      <c r="C256" s="1412"/>
      <c r="D256" s="1406" t="s">
        <v>292</v>
      </c>
    </row>
    <row r="257" spans="1:12" ht="18" customHeight="1" x14ac:dyDescent="0.3">
      <c r="A257" s="1403">
        <v>248</v>
      </c>
      <c r="C257" s="1412"/>
      <c r="D257" s="1556" t="s">
        <v>883</v>
      </c>
      <c r="E257" s="2">
        <v>16373</v>
      </c>
      <c r="G257" s="2"/>
    </row>
    <row r="258" spans="1:12" ht="18" customHeight="1" x14ac:dyDescent="0.35">
      <c r="A258" s="1403">
        <v>249</v>
      </c>
      <c r="C258" s="1412"/>
      <c r="D258" s="1722" t="s">
        <v>914</v>
      </c>
      <c r="E258" s="1587">
        <v>100</v>
      </c>
      <c r="F258" s="1411"/>
      <c r="G258" s="1411"/>
      <c r="H258" s="1411"/>
      <c r="I258" s="1411"/>
      <c r="J258" s="1411"/>
      <c r="K258" s="1411"/>
      <c r="L258" s="1411"/>
    </row>
    <row r="259" spans="1:12" ht="18" customHeight="1" x14ac:dyDescent="0.35">
      <c r="A259" s="1403">
        <v>250</v>
      </c>
      <c r="C259" s="1412"/>
      <c r="D259" s="1556" t="s">
        <v>915</v>
      </c>
      <c r="E259" s="1587">
        <v>-70</v>
      </c>
      <c r="F259" s="1411"/>
      <c r="G259" s="1411"/>
      <c r="H259" s="1411"/>
      <c r="I259" s="1411"/>
      <c r="J259" s="1411"/>
      <c r="K259" s="1411"/>
      <c r="L259" s="1411"/>
    </row>
    <row r="260" spans="1:12" ht="22.5" customHeight="1" x14ac:dyDescent="0.35">
      <c r="A260" s="1403">
        <v>251</v>
      </c>
      <c r="C260" s="1412"/>
      <c r="D260" s="1406" t="s">
        <v>293</v>
      </c>
    </row>
    <row r="261" spans="1:12" ht="18" customHeight="1" x14ac:dyDescent="0.3">
      <c r="A261" s="1403">
        <v>252</v>
      </c>
      <c r="C261" s="1412"/>
      <c r="D261" s="1556" t="s">
        <v>999</v>
      </c>
      <c r="E261" s="2">
        <v>3000</v>
      </c>
    </row>
    <row r="262" spans="1:12" ht="18" customHeight="1" x14ac:dyDescent="0.3">
      <c r="A262" s="1403">
        <v>253</v>
      </c>
      <c r="C262" s="1412"/>
      <c r="D262" s="1556" t="s">
        <v>1056</v>
      </c>
      <c r="E262" s="2">
        <v>100</v>
      </c>
    </row>
    <row r="263" spans="1:12" ht="18" customHeight="1" x14ac:dyDescent="0.3">
      <c r="A263" s="1403">
        <v>254</v>
      </c>
      <c r="C263" s="1412"/>
      <c r="D263" s="1416" t="s">
        <v>1099</v>
      </c>
      <c r="E263" s="958">
        <v>100</v>
      </c>
    </row>
    <row r="264" spans="1:12" ht="18" customHeight="1" x14ac:dyDescent="0.35">
      <c r="A264" s="1403">
        <v>255</v>
      </c>
      <c r="C264" s="1412"/>
      <c r="D264" s="1556" t="s">
        <v>1043</v>
      </c>
      <c r="E264" s="2">
        <v>100</v>
      </c>
      <c r="F264" s="1415"/>
      <c r="G264" s="1415"/>
      <c r="H264" s="1415"/>
      <c r="I264" s="1415"/>
      <c r="J264" s="1415"/>
      <c r="K264" s="1415"/>
      <c r="L264" s="1415"/>
    </row>
    <row r="265" spans="1:12" ht="18" customHeight="1" x14ac:dyDescent="0.35">
      <c r="A265" s="1403">
        <v>256</v>
      </c>
      <c r="C265" s="1412"/>
      <c r="D265" s="1556" t="s">
        <v>1109</v>
      </c>
      <c r="E265" s="2">
        <v>40000</v>
      </c>
      <c r="F265" s="1415"/>
      <c r="G265" s="1415"/>
      <c r="H265" s="1415"/>
      <c r="I265" s="1415"/>
      <c r="J265" s="1415"/>
      <c r="K265" s="1415"/>
      <c r="L265" s="1415"/>
    </row>
    <row r="266" spans="1:12" ht="18" customHeight="1" x14ac:dyDescent="0.35">
      <c r="A266" s="1403">
        <v>257</v>
      </c>
      <c r="C266" s="1412"/>
      <c r="D266" s="1406" t="s">
        <v>289</v>
      </c>
      <c r="F266" s="1415"/>
      <c r="G266" s="1415"/>
      <c r="H266" s="1415"/>
      <c r="I266" s="1415"/>
      <c r="J266" s="1415"/>
      <c r="K266" s="1415"/>
      <c r="L266" s="1415"/>
    </row>
    <row r="267" spans="1:12" ht="18" customHeight="1" x14ac:dyDescent="0.3">
      <c r="A267" s="1403">
        <v>258</v>
      </c>
      <c r="C267" s="1412"/>
      <c r="D267" s="1556" t="s">
        <v>1069</v>
      </c>
      <c r="E267" s="2">
        <v>300</v>
      </c>
      <c r="F267" s="1556"/>
      <c r="G267" s="1556"/>
      <c r="H267" s="1556"/>
      <c r="I267" s="1556"/>
      <c r="J267" s="1556"/>
      <c r="K267" s="1556"/>
      <c r="L267" s="1556"/>
    </row>
    <row r="268" spans="1:12" ht="18" customHeight="1" x14ac:dyDescent="0.3">
      <c r="A268" s="1403">
        <v>259</v>
      </c>
      <c r="C268" s="1412"/>
      <c r="D268" s="1556" t="s">
        <v>1070</v>
      </c>
      <c r="E268" s="2">
        <v>300</v>
      </c>
      <c r="F268" s="1556"/>
      <c r="G268" s="1556"/>
      <c r="H268" s="1556"/>
      <c r="I268" s="1556"/>
      <c r="J268" s="1556"/>
      <c r="K268" s="1556"/>
      <c r="L268" s="1556"/>
    </row>
    <row r="269" spans="1:12" ht="22.5" customHeight="1" x14ac:dyDescent="0.35">
      <c r="A269" s="1403">
        <v>260</v>
      </c>
      <c r="C269" s="1412"/>
      <c r="D269" s="1406" t="s">
        <v>636</v>
      </c>
    </row>
    <row r="270" spans="1:12" ht="49.5" x14ac:dyDescent="0.3">
      <c r="A270" s="1403">
        <v>261</v>
      </c>
      <c r="C270" s="1412"/>
      <c r="D270" s="1556" t="s">
        <v>930</v>
      </c>
      <c r="E270" s="958">
        <f>1786+235-1451+609</f>
        <v>1179</v>
      </c>
    </row>
    <row r="271" spans="1:12" ht="17.25" x14ac:dyDescent="0.3">
      <c r="A271" s="1403">
        <v>262</v>
      </c>
      <c r="C271" s="1412"/>
      <c r="D271" s="1556" t="s">
        <v>1051</v>
      </c>
      <c r="E271" s="958">
        <v>300</v>
      </c>
    </row>
    <row r="272" spans="1:12" ht="22.5" customHeight="1" x14ac:dyDescent="0.35">
      <c r="A272" s="1403">
        <v>263</v>
      </c>
      <c r="C272" s="1412"/>
      <c r="D272" s="1406" t="s">
        <v>30</v>
      </c>
    </row>
    <row r="273" spans="1:5" ht="36" customHeight="1" x14ac:dyDescent="0.3">
      <c r="A273" s="1403">
        <v>264</v>
      </c>
      <c r="C273" s="1412"/>
      <c r="D273" s="1556" t="s">
        <v>989</v>
      </c>
      <c r="E273" s="958">
        <f>873+114+25</f>
        <v>1012</v>
      </c>
    </row>
    <row r="274" spans="1:5" ht="22.5" customHeight="1" x14ac:dyDescent="0.35">
      <c r="A274" s="1403">
        <v>265</v>
      </c>
      <c r="C274" s="1412"/>
      <c r="D274" s="1406" t="s">
        <v>290</v>
      </c>
    </row>
    <row r="275" spans="1:5" ht="33" customHeight="1" x14ac:dyDescent="0.3">
      <c r="A275" s="1403">
        <v>266</v>
      </c>
      <c r="C275" s="1412"/>
      <c r="D275" s="1556" t="s">
        <v>1039</v>
      </c>
      <c r="E275" s="958">
        <f>6580-5555+16000</f>
        <v>17025</v>
      </c>
    </row>
    <row r="276" spans="1:5" ht="22.5" customHeight="1" x14ac:dyDescent="0.35">
      <c r="A276" s="1403">
        <v>267</v>
      </c>
      <c r="C276" s="1412"/>
      <c r="D276" s="1406" t="s">
        <v>119</v>
      </c>
    </row>
    <row r="277" spans="1:5" ht="17.25" x14ac:dyDescent="0.3">
      <c r="A277" s="1403">
        <v>268</v>
      </c>
      <c r="C277" s="1412"/>
      <c r="D277" s="1556" t="s">
        <v>905</v>
      </c>
      <c r="E277" s="958">
        <f>730+138710</f>
        <v>139440</v>
      </c>
    </row>
    <row r="278" spans="1:5" ht="33" x14ac:dyDescent="0.3">
      <c r="A278" s="1403">
        <v>269</v>
      </c>
      <c r="C278" s="1412"/>
      <c r="D278" s="1556" t="s">
        <v>1085</v>
      </c>
      <c r="E278" s="958">
        <f>-12945+751+44194</f>
        <v>32000</v>
      </c>
    </row>
    <row r="279" spans="1:5" ht="17.25" x14ac:dyDescent="0.3">
      <c r="A279" s="1403">
        <v>270</v>
      </c>
      <c r="C279" s="1412"/>
      <c r="D279" s="1556" t="s">
        <v>915</v>
      </c>
      <c r="E279" s="958">
        <v>-33000</v>
      </c>
    </row>
    <row r="280" spans="1:5" ht="22.5" customHeight="1" x14ac:dyDescent="0.35">
      <c r="A280" s="1403">
        <v>271</v>
      </c>
      <c r="C280" s="1412"/>
      <c r="D280" s="1589" t="s">
        <v>755</v>
      </c>
      <c r="E280" s="1572"/>
    </row>
    <row r="281" spans="1:5" ht="33" customHeight="1" x14ac:dyDescent="0.3">
      <c r="A281" s="1403">
        <v>272</v>
      </c>
      <c r="C281" s="1412"/>
      <c r="D281" s="1556" t="s">
        <v>1004</v>
      </c>
      <c r="E281" s="1588">
        <f>3540+460</f>
        <v>4000</v>
      </c>
    </row>
    <row r="282" spans="1:5" ht="18" customHeight="1" x14ac:dyDescent="0.3">
      <c r="A282" s="1403">
        <v>273</v>
      </c>
      <c r="C282" s="1412"/>
      <c r="D282" s="1556" t="s">
        <v>1143</v>
      </c>
      <c r="E282" s="1590">
        <v>9040</v>
      </c>
    </row>
    <row r="283" spans="1:5" ht="18" customHeight="1" x14ac:dyDescent="0.3">
      <c r="A283" s="1403">
        <v>274</v>
      </c>
      <c r="C283" s="1412"/>
      <c r="D283" s="1565" t="s">
        <v>101</v>
      </c>
      <c r="E283" s="963">
        <f>SUM(E226:E282)</f>
        <v>298300</v>
      </c>
    </row>
    <row r="284" spans="1:5" ht="18" customHeight="1" x14ac:dyDescent="0.35">
      <c r="A284" s="1403">
        <v>275</v>
      </c>
      <c r="C284" s="1412"/>
      <c r="D284" s="1589" t="s">
        <v>773</v>
      </c>
    </row>
    <row r="285" spans="1:5" ht="18" customHeight="1" x14ac:dyDescent="0.3">
      <c r="A285" s="1403">
        <v>276</v>
      </c>
      <c r="C285" s="1412"/>
      <c r="D285" s="1407" t="s">
        <v>186</v>
      </c>
    </row>
    <row r="286" spans="1:5" ht="18.95" customHeight="1" x14ac:dyDescent="0.35">
      <c r="A286" s="1403">
        <v>277</v>
      </c>
      <c r="C286" s="1412"/>
      <c r="D286" s="64" t="s">
        <v>248</v>
      </c>
    </row>
    <row r="287" spans="1:5" ht="31.5" customHeight="1" x14ac:dyDescent="0.3">
      <c r="A287" s="1403">
        <v>278</v>
      </c>
      <c r="C287" s="1412"/>
      <c r="D287" s="1556" t="s">
        <v>920</v>
      </c>
      <c r="E287" s="2">
        <v>323</v>
      </c>
    </row>
    <row r="288" spans="1:5" ht="18" customHeight="1" x14ac:dyDescent="0.3">
      <c r="A288" s="1403">
        <v>279</v>
      </c>
      <c r="C288" s="1412"/>
      <c r="D288" s="1556" t="s">
        <v>658</v>
      </c>
      <c r="E288" s="2">
        <v>27</v>
      </c>
    </row>
    <row r="289" spans="1:5" ht="18" customHeight="1" x14ac:dyDescent="0.3">
      <c r="A289" s="1403">
        <v>280</v>
      </c>
      <c r="C289" s="1412"/>
      <c r="D289" s="1556" t="s">
        <v>919</v>
      </c>
      <c r="E289" s="2">
        <v>650</v>
      </c>
    </row>
    <row r="290" spans="1:5" ht="18.95" customHeight="1" x14ac:dyDescent="0.35">
      <c r="A290" s="1403">
        <v>281</v>
      </c>
      <c r="C290" s="1412"/>
      <c r="D290" s="64" t="s">
        <v>219</v>
      </c>
    </row>
    <row r="291" spans="1:5" ht="18" customHeight="1" x14ac:dyDescent="0.3">
      <c r="A291" s="1403">
        <v>282</v>
      </c>
      <c r="C291" s="1412"/>
      <c r="D291" s="1556" t="s">
        <v>985</v>
      </c>
      <c r="E291" s="2">
        <v>25</v>
      </c>
    </row>
    <row r="292" spans="1:5" ht="18" customHeight="1" x14ac:dyDescent="0.3">
      <c r="A292" s="1403">
        <v>283</v>
      </c>
      <c r="C292" s="1412"/>
      <c r="D292" s="1556" t="s">
        <v>980</v>
      </c>
      <c r="E292" s="2">
        <v>600</v>
      </c>
    </row>
    <row r="293" spans="1:5" ht="18" customHeight="1" x14ac:dyDescent="0.3">
      <c r="A293" s="1403">
        <v>284</v>
      </c>
      <c r="C293" s="1412"/>
      <c r="D293" s="1556" t="s">
        <v>982</v>
      </c>
      <c r="E293" s="2">
        <v>200</v>
      </c>
    </row>
    <row r="294" spans="1:5" ht="18" customHeight="1" x14ac:dyDescent="0.3">
      <c r="A294" s="1403">
        <v>285</v>
      </c>
      <c r="C294" s="1412"/>
      <c r="D294" s="1591" t="s">
        <v>280</v>
      </c>
    </row>
    <row r="295" spans="1:5" ht="18" customHeight="1" x14ac:dyDescent="0.3">
      <c r="A295" s="1403">
        <v>286</v>
      </c>
      <c r="C295" s="1412"/>
      <c r="D295" s="1556" t="s">
        <v>983</v>
      </c>
      <c r="E295" s="2">
        <v>250</v>
      </c>
    </row>
    <row r="296" spans="1:5" ht="18" customHeight="1" x14ac:dyDescent="0.3">
      <c r="A296" s="1403">
        <v>287</v>
      </c>
      <c r="C296" s="1412"/>
      <c r="D296" s="1556" t="s">
        <v>984</v>
      </c>
      <c r="E296" s="2">
        <v>200</v>
      </c>
    </row>
    <row r="297" spans="1:5" ht="18.95" customHeight="1" x14ac:dyDescent="0.35">
      <c r="A297" s="1403">
        <v>288</v>
      </c>
      <c r="C297" s="1412"/>
      <c r="D297" s="64" t="s">
        <v>216</v>
      </c>
      <c r="E297" s="1408"/>
    </row>
    <row r="298" spans="1:5" ht="34.5" customHeight="1" x14ac:dyDescent="0.3">
      <c r="A298" s="1403">
        <v>289</v>
      </c>
      <c r="C298" s="1412"/>
      <c r="D298" s="1827" t="s">
        <v>922</v>
      </c>
      <c r="E298" s="958">
        <v>886</v>
      </c>
    </row>
    <row r="299" spans="1:5" ht="18" customHeight="1" x14ac:dyDescent="0.3">
      <c r="A299" s="1403">
        <v>290</v>
      </c>
      <c r="C299" s="1412"/>
      <c r="D299" s="1556" t="s">
        <v>1057</v>
      </c>
      <c r="E299" s="2">
        <v>200</v>
      </c>
    </row>
    <row r="300" spans="1:5" ht="18" customHeight="1" x14ac:dyDescent="0.3">
      <c r="A300" s="1403">
        <v>291</v>
      </c>
      <c r="C300" s="1412"/>
      <c r="D300" s="1556" t="s">
        <v>1058</v>
      </c>
      <c r="E300" s="2">
        <v>-300</v>
      </c>
    </row>
    <row r="301" spans="1:5" ht="18" customHeight="1" x14ac:dyDescent="0.3">
      <c r="A301" s="1403">
        <v>292</v>
      </c>
      <c r="C301" s="1412"/>
      <c r="D301" s="1556" t="s">
        <v>1059</v>
      </c>
      <c r="E301" s="2">
        <v>300</v>
      </c>
    </row>
    <row r="302" spans="1:5" ht="19.5" customHeight="1" x14ac:dyDescent="0.35">
      <c r="A302" s="1403">
        <v>293</v>
      </c>
      <c r="C302" s="1412"/>
      <c r="D302" s="1591" t="s">
        <v>924</v>
      </c>
      <c r="E302" s="1408"/>
    </row>
    <row r="303" spans="1:5" ht="33.75" customHeight="1" x14ac:dyDescent="0.3">
      <c r="A303" s="1403">
        <v>294</v>
      </c>
      <c r="C303" s="1412"/>
      <c r="D303" s="1556" t="s">
        <v>923</v>
      </c>
      <c r="E303" s="958">
        <v>414</v>
      </c>
    </row>
    <row r="304" spans="1:5" ht="18.95" customHeight="1" x14ac:dyDescent="0.35">
      <c r="A304" s="1403">
        <v>295</v>
      </c>
      <c r="C304" s="1412"/>
      <c r="D304" s="64" t="s">
        <v>987</v>
      </c>
      <c r="E304" s="1592"/>
    </row>
    <row r="305" spans="1:13" ht="17.25" x14ac:dyDescent="0.3">
      <c r="A305" s="1403">
        <v>296</v>
      </c>
      <c r="C305" s="1412"/>
      <c r="D305" s="1556" t="s">
        <v>986</v>
      </c>
      <c r="E305" s="2">
        <f>47+1512</f>
        <v>1559</v>
      </c>
    </row>
    <row r="306" spans="1:13" ht="17.25" x14ac:dyDescent="0.3">
      <c r="A306" s="1403">
        <v>297</v>
      </c>
      <c r="C306" s="1412"/>
      <c r="D306" s="1556" t="s">
        <v>384</v>
      </c>
      <c r="E306" s="2">
        <v>-47</v>
      </c>
    </row>
    <row r="307" spans="1:13" ht="18.95" customHeight="1" x14ac:dyDescent="0.35">
      <c r="A307" s="1403">
        <v>298</v>
      </c>
      <c r="C307" s="1412"/>
      <c r="D307" s="64" t="s">
        <v>253</v>
      </c>
      <c r="E307" s="1408"/>
    </row>
    <row r="308" spans="1:13" ht="19.5" customHeight="1" x14ac:dyDescent="0.35">
      <c r="A308" s="1403">
        <v>299</v>
      </c>
      <c r="C308" s="1412"/>
      <c r="D308" s="1591" t="s">
        <v>282</v>
      </c>
      <c r="E308" s="1408"/>
    </row>
    <row r="309" spans="1:13" ht="19.5" customHeight="1" x14ac:dyDescent="0.3">
      <c r="A309" s="1403">
        <v>300</v>
      </c>
      <c r="C309" s="1412"/>
      <c r="D309" s="1556" t="s">
        <v>669</v>
      </c>
      <c r="E309" s="2">
        <v>-982</v>
      </c>
    </row>
    <row r="310" spans="1:13" ht="19.5" customHeight="1" x14ac:dyDescent="0.3">
      <c r="A310" s="1403">
        <v>301</v>
      </c>
      <c r="C310" s="1412"/>
      <c r="D310" s="1556" t="s">
        <v>974</v>
      </c>
      <c r="E310" s="2">
        <v>982</v>
      </c>
    </row>
    <row r="311" spans="1:13" ht="18" customHeight="1" x14ac:dyDescent="0.35">
      <c r="A311" s="1403">
        <v>302</v>
      </c>
      <c r="C311" s="1412"/>
      <c r="D311" s="1591" t="s">
        <v>260</v>
      </c>
      <c r="E311" s="1411"/>
      <c r="F311" s="1411"/>
      <c r="G311" s="1411"/>
      <c r="H311" s="1411"/>
      <c r="I311" s="1411"/>
      <c r="J311" s="1411"/>
      <c r="K311" s="1411"/>
      <c r="L311" s="1411"/>
    </row>
    <row r="312" spans="1:13" ht="18" customHeight="1" x14ac:dyDescent="0.35">
      <c r="A312" s="1403">
        <v>303</v>
      </c>
      <c r="C312" s="1412"/>
      <c r="D312" s="1556" t="s">
        <v>670</v>
      </c>
      <c r="E312" s="958">
        <v>-440</v>
      </c>
      <c r="F312" s="1411"/>
      <c r="G312" s="1411"/>
      <c r="H312" s="1411"/>
      <c r="I312" s="1411"/>
      <c r="J312" s="1411"/>
      <c r="K312" s="1411"/>
      <c r="L312" s="1411"/>
    </row>
    <row r="313" spans="1:13" ht="18" customHeight="1" x14ac:dyDescent="0.35">
      <c r="A313" s="1403">
        <v>304</v>
      </c>
      <c r="C313" s="1412"/>
      <c r="D313" s="1556" t="s">
        <v>975</v>
      </c>
      <c r="E313" s="958">
        <v>440</v>
      </c>
      <c r="F313" s="1411"/>
      <c r="G313" s="1411"/>
      <c r="H313" s="1411"/>
      <c r="I313" s="1411"/>
      <c r="J313" s="1411"/>
      <c r="K313" s="1411"/>
      <c r="L313" s="1411"/>
    </row>
    <row r="314" spans="1:13" ht="18.95" customHeight="1" x14ac:dyDescent="0.35">
      <c r="A314" s="1403">
        <v>305</v>
      </c>
      <c r="C314" s="1412"/>
      <c r="D314" s="1406" t="s">
        <v>292</v>
      </c>
      <c r="E314" s="958"/>
      <c r="F314" s="1411"/>
      <c r="G314" s="1411"/>
      <c r="H314" s="1411"/>
      <c r="I314" s="1411"/>
      <c r="J314" s="1411"/>
      <c r="K314" s="1411"/>
      <c r="L314" s="1411"/>
    </row>
    <row r="315" spans="1:13" ht="18" customHeight="1" x14ac:dyDescent="0.35">
      <c r="A315" s="1403">
        <v>306</v>
      </c>
      <c r="C315" s="1412"/>
      <c r="D315" s="1556" t="s">
        <v>916</v>
      </c>
      <c r="E315" s="958">
        <v>70</v>
      </c>
      <c r="F315" s="1411"/>
      <c r="G315" s="1411"/>
      <c r="H315" s="1411"/>
      <c r="I315" s="1411"/>
      <c r="J315" s="1411"/>
      <c r="K315" s="1411"/>
      <c r="L315" s="1411"/>
    </row>
    <row r="316" spans="1:13" ht="18.95" customHeight="1" x14ac:dyDescent="0.35">
      <c r="A316" s="1403">
        <v>307</v>
      </c>
      <c r="C316" s="1412"/>
      <c r="D316" s="1406" t="s">
        <v>293</v>
      </c>
      <c r="F316" s="1411"/>
      <c r="G316" s="1411"/>
      <c r="H316" s="1411"/>
      <c r="I316" s="1411"/>
      <c r="J316" s="1411"/>
      <c r="K316" s="1411"/>
      <c r="L316" s="1411"/>
    </row>
    <row r="317" spans="1:13" ht="18" customHeight="1" x14ac:dyDescent="0.35">
      <c r="A317" s="1403">
        <v>308</v>
      </c>
      <c r="C317" s="1412"/>
      <c r="D317" s="1556" t="s">
        <v>728</v>
      </c>
      <c r="E317" s="2">
        <v>718</v>
      </c>
      <c r="F317" s="1411"/>
      <c r="G317" s="1411"/>
      <c r="H317" s="1411"/>
      <c r="I317" s="1411"/>
      <c r="J317" s="1411"/>
      <c r="K317" s="1411"/>
      <c r="L317" s="1411"/>
    </row>
    <row r="318" spans="1:13" ht="18" customHeight="1" x14ac:dyDescent="0.35">
      <c r="A318" s="1403">
        <v>309</v>
      </c>
      <c r="C318" s="1412"/>
      <c r="D318" s="1556" t="s">
        <v>667</v>
      </c>
      <c r="E318" s="2">
        <v>-524</v>
      </c>
      <c r="F318" s="1411"/>
      <c r="G318" s="1411"/>
      <c r="H318" s="1411"/>
      <c r="I318" s="1411"/>
      <c r="J318" s="1411"/>
      <c r="K318" s="1411"/>
      <c r="L318" s="1411"/>
    </row>
    <row r="319" spans="1:13" ht="18" customHeight="1" x14ac:dyDescent="0.35">
      <c r="A319" s="1403">
        <v>310</v>
      </c>
      <c r="C319" s="1412"/>
      <c r="D319" s="1556" t="s">
        <v>938</v>
      </c>
      <c r="E319" s="2">
        <v>5406</v>
      </c>
      <c r="F319" s="1411"/>
      <c r="G319" s="1411"/>
      <c r="H319" s="1411"/>
      <c r="I319" s="1411"/>
      <c r="J319" s="1411"/>
      <c r="K319" s="1411"/>
      <c r="L319" s="1411"/>
    </row>
    <row r="320" spans="1:13" ht="18.95" customHeight="1" x14ac:dyDescent="0.35">
      <c r="A320" s="1403">
        <v>311</v>
      </c>
      <c r="C320" s="1412"/>
      <c r="D320" s="64" t="s">
        <v>636</v>
      </c>
      <c r="E320" s="958"/>
      <c r="M320" s="1416"/>
    </row>
    <row r="321" spans="1:13" ht="18" customHeight="1" x14ac:dyDescent="0.3">
      <c r="A321" s="1403">
        <v>312</v>
      </c>
      <c r="C321" s="1412"/>
      <c r="D321" s="1556" t="s">
        <v>853</v>
      </c>
      <c r="E321" s="958">
        <v>472</v>
      </c>
      <c r="M321" s="1416"/>
    </row>
    <row r="322" spans="1:13" ht="18" customHeight="1" x14ac:dyDescent="0.3">
      <c r="A322" s="1403">
        <v>313</v>
      </c>
      <c r="C322" s="1412"/>
      <c r="D322" s="1556" t="s">
        <v>614</v>
      </c>
      <c r="E322" s="958">
        <v>60</v>
      </c>
      <c r="M322" s="1416"/>
    </row>
    <row r="323" spans="1:13" ht="35.25" customHeight="1" x14ac:dyDescent="0.3">
      <c r="A323" s="1403">
        <v>314</v>
      </c>
      <c r="C323" s="1412"/>
      <c r="D323" s="1827" t="s">
        <v>675</v>
      </c>
      <c r="E323" s="958">
        <v>1500</v>
      </c>
      <c r="M323" s="1416"/>
    </row>
    <row r="324" spans="1:13" ht="18" customHeight="1" x14ac:dyDescent="0.3">
      <c r="A324" s="1403">
        <v>315</v>
      </c>
      <c r="C324" s="1412"/>
      <c r="D324" s="1556" t="s">
        <v>676</v>
      </c>
      <c r="E324" s="958">
        <v>-1500</v>
      </c>
      <c r="M324" s="1416"/>
    </row>
    <row r="325" spans="1:13" ht="18" customHeight="1" x14ac:dyDescent="0.3">
      <c r="A325" s="1403">
        <v>316</v>
      </c>
      <c r="C325" s="1412"/>
      <c r="D325" s="1556" t="s">
        <v>929</v>
      </c>
      <c r="E325" s="958">
        <v>168</v>
      </c>
      <c r="M325" s="1416"/>
    </row>
    <row r="326" spans="1:13" ht="17.25" x14ac:dyDescent="0.3">
      <c r="A326" s="1403">
        <v>317</v>
      </c>
      <c r="C326" s="1412"/>
      <c r="D326" s="1556" t="s">
        <v>1100</v>
      </c>
      <c r="E326" s="958">
        <v>150</v>
      </c>
    </row>
    <row r="327" spans="1:13" ht="18.95" customHeight="1" x14ac:dyDescent="0.35">
      <c r="A327" s="1403">
        <v>318</v>
      </c>
      <c r="C327" s="1412"/>
      <c r="D327" s="64" t="s">
        <v>290</v>
      </c>
      <c r="E327" s="958"/>
      <c r="M327" s="1416"/>
    </row>
    <row r="328" spans="1:13" ht="18" customHeight="1" x14ac:dyDescent="0.3">
      <c r="A328" s="1403">
        <v>319</v>
      </c>
      <c r="C328" s="1412"/>
      <c r="D328" s="1556" t="s">
        <v>600</v>
      </c>
      <c r="E328" s="958">
        <v>-292</v>
      </c>
      <c r="M328" s="1416"/>
    </row>
    <row r="329" spans="1:13" ht="18" customHeight="1" x14ac:dyDescent="0.3">
      <c r="A329" s="1403">
        <v>320</v>
      </c>
      <c r="C329" s="1412"/>
      <c r="D329" s="1556" t="s">
        <v>1038</v>
      </c>
      <c r="E329" s="958">
        <v>2476</v>
      </c>
      <c r="M329" s="1416"/>
    </row>
    <row r="330" spans="1:13" ht="18" customHeight="1" x14ac:dyDescent="0.3">
      <c r="A330" s="1403">
        <v>321</v>
      </c>
      <c r="C330" s="1412"/>
      <c r="D330" s="1556" t="s">
        <v>680</v>
      </c>
      <c r="E330" s="958">
        <v>-500</v>
      </c>
      <c r="M330" s="1416"/>
    </row>
    <row r="331" spans="1:13" ht="18" customHeight="1" x14ac:dyDescent="0.3">
      <c r="A331" s="1403">
        <v>322</v>
      </c>
      <c r="C331" s="1412"/>
      <c r="D331" s="1556" t="s">
        <v>679</v>
      </c>
      <c r="E331" s="958">
        <v>-28</v>
      </c>
      <c r="M331" s="1416"/>
    </row>
    <row r="332" spans="1:13" ht="18" customHeight="1" x14ac:dyDescent="0.3">
      <c r="A332" s="1403">
        <v>323</v>
      </c>
      <c r="C332" s="1412"/>
      <c r="D332" s="1556" t="s">
        <v>1036</v>
      </c>
      <c r="E332" s="958">
        <v>7000</v>
      </c>
      <c r="M332" s="1416"/>
    </row>
    <row r="333" spans="1:13" ht="18" customHeight="1" x14ac:dyDescent="0.3">
      <c r="A333" s="1403">
        <v>324</v>
      </c>
      <c r="C333" s="1412"/>
      <c r="D333" s="1556" t="s">
        <v>1037</v>
      </c>
      <c r="E333" s="958">
        <v>344</v>
      </c>
      <c r="M333" s="1416"/>
    </row>
    <row r="334" spans="1:13" ht="18.95" customHeight="1" x14ac:dyDescent="0.35">
      <c r="A334" s="1403">
        <v>325</v>
      </c>
      <c r="C334" s="1412"/>
      <c r="D334" s="64" t="s">
        <v>30</v>
      </c>
      <c r="E334" s="958"/>
      <c r="M334" s="1416"/>
    </row>
    <row r="335" spans="1:13" ht="18" customHeight="1" x14ac:dyDescent="0.3">
      <c r="A335" s="1403">
        <v>326</v>
      </c>
      <c r="C335" s="1412"/>
      <c r="D335" s="1556" t="s">
        <v>678</v>
      </c>
      <c r="E335" s="958">
        <v>-2540</v>
      </c>
      <c r="M335" s="1416"/>
    </row>
    <row r="336" spans="1:13" ht="18" customHeight="1" x14ac:dyDescent="0.3">
      <c r="A336" s="1403">
        <v>327</v>
      </c>
      <c r="C336" s="1412"/>
      <c r="D336" s="1556" t="s">
        <v>988</v>
      </c>
      <c r="E336" s="958">
        <v>2540</v>
      </c>
      <c r="M336" s="1416"/>
    </row>
    <row r="337" spans="1:256" ht="18.95" customHeight="1" x14ac:dyDescent="0.35">
      <c r="A337" s="1403">
        <v>328</v>
      </c>
      <c r="C337" s="1412"/>
      <c r="D337" s="64" t="s">
        <v>119</v>
      </c>
      <c r="E337" s="958"/>
      <c r="M337" s="1416"/>
    </row>
    <row r="338" spans="1:256" ht="18" customHeight="1" x14ac:dyDescent="0.3">
      <c r="A338" s="1403">
        <v>329</v>
      </c>
      <c r="C338" s="1412"/>
      <c r="D338" s="1556" t="s">
        <v>1130</v>
      </c>
      <c r="E338" s="958">
        <v>33000</v>
      </c>
      <c r="M338" s="1416"/>
    </row>
    <row r="339" spans="1:256" ht="32.25" customHeight="1" x14ac:dyDescent="0.3">
      <c r="A339" s="1403">
        <v>330</v>
      </c>
      <c r="C339" s="1412"/>
      <c r="D339" s="1556" t="s">
        <v>1083</v>
      </c>
      <c r="E339" s="1548">
        <v>5000</v>
      </c>
      <c r="M339" s="1416"/>
    </row>
    <row r="340" spans="1:256" ht="20.100000000000001" customHeight="1" x14ac:dyDescent="0.3">
      <c r="A340" s="1403">
        <v>331</v>
      </c>
      <c r="C340" s="1412"/>
      <c r="D340" s="1549" t="s">
        <v>101</v>
      </c>
      <c r="E340" s="963">
        <f>SUM(E287:E339)</f>
        <v>58807</v>
      </c>
      <c r="M340" s="1416"/>
    </row>
    <row r="341" spans="1:256" ht="18" customHeight="1" thickBot="1" x14ac:dyDescent="0.35">
      <c r="A341" s="1403">
        <v>332</v>
      </c>
      <c r="B341" s="1593"/>
      <c r="C341" s="1593"/>
      <c r="D341" s="1594" t="s">
        <v>774</v>
      </c>
      <c r="E341" s="1570">
        <f>E283+E340</f>
        <v>357107</v>
      </c>
      <c r="F341" s="1"/>
      <c r="G341" s="1"/>
      <c r="H341" s="1"/>
      <c r="I341" s="1"/>
      <c r="J341" s="1"/>
      <c r="K341" s="1"/>
      <c r="L341" s="1"/>
      <c r="M341" s="1"/>
      <c r="N341" s="1"/>
      <c r="O341" s="1"/>
      <c r="P341" s="1"/>
      <c r="Q341" s="1"/>
      <c r="R341" s="1"/>
      <c r="S341" s="1"/>
      <c r="T341" s="1"/>
      <c r="U341" s="1"/>
      <c r="V341" s="1"/>
      <c r="W341" s="1"/>
      <c r="X341" s="1"/>
      <c r="Y341" s="1"/>
      <c r="Z341" s="1"/>
      <c r="AA341" s="1"/>
      <c r="AB341" s="1"/>
      <c r="AC341" s="1"/>
      <c r="AD341" s="1"/>
      <c r="AE341" s="1"/>
      <c r="AF341" s="1"/>
      <c r="AG341" s="1"/>
      <c r="AH341" s="1"/>
      <c r="AI341" s="1"/>
      <c r="AJ341" s="1"/>
      <c r="AK341" s="1"/>
      <c r="AL341" s="1"/>
      <c r="AM341" s="1"/>
      <c r="AN341" s="1"/>
      <c r="AO341" s="1"/>
      <c r="AP341" s="1"/>
      <c r="AQ341" s="1"/>
      <c r="AR341" s="1"/>
      <c r="AS341" s="1"/>
      <c r="AT341" s="1"/>
      <c r="AU341" s="1"/>
      <c r="AV341" s="1"/>
      <c r="AW341" s="1"/>
      <c r="AX341" s="1"/>
      <c r="AY341" s="1"/>
      <c r="AZ341" s="1"/>
      <c r="BA341" s="1"/>
      <c r="BB341" s="1"/>
      <c r="BC341" s="1"/>
      <c r="BD341" s="1"/>
      <c r="BE341" s="1"/>
      <c r="BF341" s="1"/>
      <c r="BG341" s="1"/>
      <c r="BH341" s="1"/>
      <c r="BI341" s="1"/>
      <c r="BJ341" s="1"/>
      <c r="BK341" s="1"/>
      <c r="BL341" s="1"/>
      <c r="BM341" s="1"/>
      <c r="BN341" s="1"/>
      <c r="BO341" s="1"/>
      <c r="BP341" s="1"/>
      <c r="BQ341" s="1"/>
      <c r="BR341" s="1"/>
      <c r="BS341" s="1"/>
      <c r="BT341" s="1"/>
      <c r="BU341" s="1"/>
      <c r="BV341" s="1"/>
      <c r="BW341" s="1"/>
      <c r="BX341" s="1"/>
      <c r="BY341" s="1"/>
      <c r="BZ341" s="1"/>
      <c r="CA341" s="1"/>
      <c r="CB341" s="1"/>
      <c r="CC341" s="1"/>
      <c r="CD341" s="1"/>
      <c r="CE341" s="1"/>
      <c r="CF341" s="1"/>
      <c r="CG341" s="1"/>
      <c r="CH341" s="1"/>
      <c r="CI341" s="1"/>
      <c r="CJ341" s="1"/>
      <c r="CK341" s="1"/>
      <c r="CL341" s="1"/>
      <c r="CM341" s="1"/>
      <c r="CN341" s="1"/>
      <c r="CO341" s="1"/>
      <c r="CP341" s="1"/>
      <c r="CQ341" s="1"/>
      <c r="CR341" s="1"/>
      <c r="CS341" s="1"/>
      <c r="CT341" s="1"/>
      <c r="CU341" s="1"/>
      <c r="CV341" s="1"/>
      <c r="CW341" s="1"/>
      <c r="CX341" s="1"/>
      <c r="CY341" s="1"/>
      <c r="CZ341" s="1"/>
      <c r="DA341" s="1"/>
      <c r="DB341" s="1"/>
      <c r="DC341" s="1"/>
      <c r="DD341" s="1"/>
      <c r="DE341" s="1"/>
      <c r="DF341" s="1"/>
      <c r="DG341" s="1"/>
      <c r="DH341" s="1"/>
      <c r="DI341" s="1"/>
      <c r="DJ341" s="1"/>
      <c r="DK341" s="1"/>
      <c r="DL341" s="1"/>
      <c r="DM341" s="1"/>
      <c r="DN341" s="1"/>
      <c r="DO341" s="1"/>
      <c r="DP341" s="1"/>
      <c r="DQ341" s="1"/>
      <c r="DR341" s="1"/>
      <c r="DS341" s="1"/>
      <c r="DT341" s="1"/>
      <c r="DU341" s="1"/>
      <c r="DV341" s="1"/>
      <c r="DW341" s="1"/>
      <c r="DX341" s="1"/>
      <c r="DY341" s="1"/>
      <c r="DZ341" s="1"/>
      <c r="EA341" s="1"/>
      <c r="EB341" s="1"/>
      <c r="EC341" s="1"/>
      <c r="ED341" s="1"/>
      <c r="EE341" s="1"/>
      <c r="EF341" s="1"/>
      <c r="EG341" s="1"/>
      <c r="EH341" s="1"/>
      <c r="EI341" s="1"/>
      <c r="EJ341" s="1"/>
      <c r="EK341" s="1"/>
      <c r="EL341" s="1"/>
      <c r="EM341" s="1"/>
      <c r="EN341" s="1"/>
      <c r="EO341" s="1"/>
      <c r="EP341" s="1"/>
      <c r="EQ341" s="1"/>
      <c r="ER341" s="1"/>
      <c r="ES341" s="1"/>
      <c r="ET341" s="1"/>
      <c r="EU341" s="1"/>
      <c r="EV341" s="1"/>
      <c r="EW341" s="1"/>
      <c r="EX341" s="1"/>
      <c r="EY341" s="1"/>
      <c r="EZ341" s="1"/>
      <c r="FA341" s="1"/>
      <c r="FB341" s="1"/>
      <c r="FC341" s="1"/>
      <c r="FD341" s="1"/>
      <c r="FE341" s="1"/>
      <c r="FF341" s="1"/>
      <c r="FG341" s="1"/>
      <c r="FH341" s="1"/>
      <c r="FI341" s="1"/>
      <c r="FJ341" s="1"/>
      <c r="FK341" s="1"/>
      <c r="FL341" s="1"/>
      <c r="FM341" s="1"/>
      <c r="FN341" s="1"/>
      <c r="FO341" s="1"/>
      <c r="FP341" s="1"/>
      <c r="FQ341" s="1"/>
      <c r="FR341" s="1"/>
      <c r="FS341" s="1"/>
      <c r="FT341" s="1"/>
      <c r="FU341" s="1"/>
      <c r="FV341" s="1"/>
      <c r="FW341" s="1"/>
      <c r="FX341" s="1"/>
      <c r="FY341" s="1"/>
      <c r="FZ341" s="1"/>
      <c r="GA341" s="1"/>
      <c r="GB341" s="1"/>
      <c r="GC341" s="1"/>
      <c r="GD341" s="1"/>
      <c r="GE341" s="1"/>
      <c r="GF341" s="1"/>
      <c r="GG341" s="1"/>
      <c r="GH341" s="1"/>
      <c r="GI341" s="1"/>
      <c r="GJ341" s="1"/>
      <c r="GK341" s="1"/>
      <c r="GL341" s="1"/>
      <c r="GM341" s="1"/>
      <c r="GN341" s="1"/>
      <c r="GO341" s="1"/>
      <c r="GP341" s="1"/>
      <c r="GQ341" s="1"/>
      <c r="GR341" s="1"/>
      <c r="GS341" s="1"/>
      <c r="GT341" s="1"/>
      <c r="GU341" s="1"/>
      <c r="GV341" s="1"/>
      <c r="GW341" s="1"/>
      <c r="GX341" s="1"/>
      <c r="GY341" s="1"/>
      <c r="GZ341" s="1"/>
      <c r="HA341" s="1"/>
      <c r="HB341" s="1"/>
      <c r="HC341" s="1"/>
      <c r="HD341" s="1"/>
      <c r="HE341" s="1"/>
      <c r="HF341" s="1"/>
      <c r="HG341" s="1"/>
      <c r="HH341" s="1"/>
      <c r="HI341" s="1"/>
      <c r="HJ341" s="1"/>
      <c r="HK341" s="1"/>
      <c r="HL341" s="1"/>
      <c r="HM341" s="1"/>
      <c r="HN341" s="1"/>
      <c r="HO341" s="1"/>
      <c r="HP341" s="1"/>
      <c r="HQ341" s="1"/>
      <c r="HR341" s="1"/>
      <c r="HS341" s="1"/>
      <c r="HT341" s="1"/>
      <c r="HU341" s="1"/>
      <c r="HV341" s="1"/>
      <c r="HW341" s="1"/>
      <c r="HX341" s="1"/>
      <c r="HY341" s="1"/>
      <c r="HZ341" s="1"/>
      <c r="IA341" s="1"/>
      <c r="IB341" s="1"/>
      <c r="IC341" s="1"/>
      <c r="ID341" s="1"/>
      <c r="IE341" s="1"/>
      <c r="IF341" s="1"/>
      <c r="IG341" s="1"/>
      <c r="IH341" s="1"/>
      <c r="II341" s="1"/>
      <c r="IJ341" s="1"/>
      <c r="IK341" s="1"/>
      <c r="IL341" s="1"/>
      <c r="IM341" s="1"/>
      <c r="IN341" s="1"/>
      <c r="IO341" s="1"/>
      <c r="IP341" s="1"/>
      <c r="IQ341" s="1"/>
      <c r="IR341" s="1"/>
      <c r="IS341" s="1"/>
      <c r="IT341" s="1"/>
      <c r="IU341" s="1"/>
      <c r="IV341" s="1"/>
    </row>
    <row r="342" spans="1:256" ht="24.75" customHeight="1" thickTop="1" x14ac:dyDescent="0.35">
      <c r="A342" s="1403">
        <v>333</v>
      </c>
      <c r="B342" s="1417"/>
      <c r="C342" s="1407" t="s">
        <v>748</v>
      </c>
      <c r="D342" s="1589" t="s">
        <v>164</v>
      </c>
      <c r="F342" s="1"/>
      <c r="G342" s="1"/>
      <c r="H342" s="1"/>
      <c r="I342" s="1"/>
      <c r="J342" s="1"/>
      <c r="K342" s="1"/>
      <c r="L342" s="1"/>
      <c r="M342" s="1"/>
      <c r="N342" s="1"/>
      <c r="O342" s="1"/>
      <c r="P342" s="1"/>
      <c r="Q342" s="1"/>
      <c r="R342" s="1"/>
      <c r="S342" s="1"/>
      <c r="T342" s="1"/>
      <c r="U342" s="1"/>
      <c r="V342" s="1"/>
      <c r="W342" s="1"/>
      <c r="X342" s="1"/>
      <c r="Y342" s="1"/>
      <c r="Z342" s="1"/>
      <c r="AA342" s="1"/>
      <c r="AB342" s="1"/>
      <c r="AC342" s="1"/>
      <c r="AD342" s="1"/>
      <c r="AE342" s="1"/>
      <c r="AF342" s="1"/>
      <c r="AG342" s="1"/>
      <c r="AH342" s="1"/>
      <c r="AI342" s="1"/>
      <c r="AJ342" s="1"/>
      <c r="AK342" s="1"/>
      <c r="AL342" s="1"/>
      <c r="AM342" s="1"/>
      <c r="AN342" s="1"/>
      <c r="AO342" s="1"/>
      <c r="AP342" s="1"/>
      <c r="AQ342" s="1"/>
      <c r="AR342" s="1"/>
      <c r="AS342" s="1"/>
      <c r="AT342" s="1"/>
      <c r="AU342" s="1"/>
      <c r="AV342" s="1"/>
      <c r="AW342" s="1"/>
      <c r="AX342" s="1"/>
      <c r="AY342" s="1"/>
      <c r="AZ342" s="1"/>
      <c r="BA342" s="1"/>
      <c r="BB342" s="1"/>
      <c r="BC342" s="1"/>
      <c r="BD342" s="1"/>
      <c r="BE342" s="1"/>
      <c r="BF342" s="1"/>
      <c r="BG342" s="1"/>
      <c r="BH342" s="1"/>
      <c r="BI342" s="1"/>
      <c r="BJ342" s="1"/>
      <c r="BK342" s="1"/>
      <c r="BL342" s="1"/>
      <c r="BM342" s="1"/>
      <c r="BN342" s="1"/>
      <c r="BO342" s="1"/>
      <c r="BP342" s="1"/>
      <c r="BQ342" s="1"/>
      <c r="BR342" s="1"/>
      <c r="BS342" s="1"/>
      <c r="BT342" s="1"/>
      <c r="BU342" s="1"/>
      <c r="BV342" s="1"/>
      <c r="BW342" s="1"/>
      <c r="BX342" s="1"/>
      <c r="BY342" s="1"/>
      <c r="BZ342" s="1"/>
      <c r="CA342" s="1"/>
      <c r="CB342" s="1"/>
      <c r="CC342" s="1"/>
      <c r="CD342" s="1"/>
      <c r="CE342" s="1"/>
      <c r="CF342" s="1"/>
      <c r="CG342" s="1"/>
      <c r="CH342" s="1"/>
      <c r="CI342" s="1"/>
      <c r="CJ342" s="1"/>
      <c r="CK342" s="1"/>
      <c r="CL342" s="1"/>
      <c r="CM342" s="1"/>
      <c r="CN342" s="1"/>
      <c r="CO342" s="1"/>
      <c r="CP342" s="1"/>
      <c r="CQ342" s="1"/>
      <c r="CR342" s="1"/>
      <c r="CS342" s="1"/>
      <c r="CT342" s="1"/>
      <c r="CU342" s="1"/>
      <c r="CV342" s="1"/>
      <c r="CW342" s="1"/>
      <c r="CX342" s="1"/>
      <c r="CY342" s="1"/>
      <c r="CZ342" s="1"/>
      <c r="DA342" s="1"/>
      <c r="DB342" s="1"/>
      <c r="DC342" s="1"/>
      <c r="DD342" s="1"/>
      <c r="DE342" s="1"/>
      <c r="DF342" s="1"/>
      <c r="DG342" s="1"/>
      <c r="DH342" s="1"/>
      <c r="DI342" s="1"/>
      <c r="DJ342" s="1"/>
      <c r="DK342" s="1"/>
      <c r="DL342" s="1"/>
      <c r="DM342" s="1"/>
      <c r="DN342" s="1"/>
      <c r="DO342" s="1"/>
      <c r="DP342" s="1"/>
      <c r="DQ342" s="1"/>
      <c r="DR342" s="1"/>
      <c r="DS342" s="1"/>
      <c r="DT342" s="1"/>
      <c r="DU342" s="1"/>
      <c r="DV342" s="1"/>
      <c r="DW342" s="1"/>
      <c r="DX342" s="1"/>
      <c r="DY342" s="1"/>
      <c r="DZ342" s="1"/>
      <c r="EA342" s="1"/>
      <c r="EB342" s="1"/>
      <c r="EC342" s="1"/>
      <c r="ED342" s="1"/>
      <c r="EE342" s="1"/>
      <c r="EF342" s="1"/>
      <c r="EG342" s="1"/>
      <c r="EH342" s="1"/>
      <c r="EI342" s="1"/>
      <c r="EJ342" s="1"/>
      <c r="EK342" s="1"/>
      <c r="EL342" s="1"/>
      <c r="EM342" s="1"/>
      <c r="EN342" s="1"/>
      <c r="EO342" s="1"/>
      <c r="EP342" s="1"/>
      <c r="EQ342" s="1"/>
      <c r="ER342" s="1"/>
      <c r="ES342" s="1"/>
      <c r="ET342" s="1"/>
      <c r="EU342" s="1"/>
      <c r="EV342" s="1"/>
      <c r="EW342" s="1"/>
      <c r="EX342" s="1"/>
      <c r="EY342" s="1"/>
      <c r="EZ342" s="1"/>
      <c r="FA342" s="1"/>
      <c r="FB342" s="1"/>
      <c r="FC342" s="1"/>
      <c r="FD342" s="1"/>
      <c r="FE342" s="1"/>
      <c r="FF342" s="1"/>
      <c r="FG342" s="1"/>
      <c r="FH342" s="1"/>
      <c r="FI342" s="1"/>
      <c r="FJ342" s="1"/>
      <c r="FK342" s="1"/>
      <c r="FL342" s="1"/>
      <c r="FM342" s="1"/>
      <c r="FN342" s="1"/>
      <c r="FO342" s="1"/>
      <c r="FP342" s="1"/>
      <c r="FQ342" s="1"/>
      <c r="FR342" s="1"/>
      <c r="FS342" s="1"/>
      <c r="FT342" s="1"/>
      <c r="FU342" s="1"/>
      <c r="FV342" s="1"/>
      <c r="FW342" s="1"/>
      <c r="FX342" s="1"/>
      <c r="FY342" s="1"/>
      <c r="FZ342" s="1"/>
      <c r="GA342" s="1"/>
      <c r="GB342" s="1"/>
      <c r="GC342" s="1"/>
      <c r="GD342" s="1"/>
      <c r="GE342" s="1"/>
      <c r="GF342" s="1"/>
      <c r="GG342" s="1"/>
      <c r="GH342" s="1"/>
      <c r="GI342" s="1"/>
      <c r="GJ342" s="1"/>
      <c r="GK342" s="1"/>
      <c r="GL342" s="1"/>
      <c r="GM342" s="1"/>
      <c r="GN342" s="1"/>
      <c r="GO342" s="1"/>
      <c r="GP342" s="1"/>
      <c r="GQ342" s="1"/>
      <c r="GR342" s="1"/>
      <c r="GS342" s="1"/>
      <c r="GT342" s="1"/>
      <c r="GU342" s="1"/>
      <c r="GV342" s="1"/>
      <c r="GW342" s="1"/>
      <c r="GX342" s="1"/>
      <c r="GY342" s="1"/>
      <c r="GZ342" s="1"/>
      <c r="HA342" s="1"/>
      <c r="HB342" s="1"/>
      <c r="HC342" s="1"/>
      <c r="HD342" s="1"/>
      <c r="HE342" s="1"/>
      <c r="HF342" s="1"/>
      <c r="HG342" s="1"/>
      <c r="HH342" s="1"/>
      <c r="HI342" s="1"/>
      <c r="HJ342" s="1"/>
      <c r="HK342" s="1"/>
      <c r="HL342" s="1"/>
      <c r="HM342" s="1"/>
      <c r="HN342" s="1"/>
      <c r="HO342" s="1"/>
      <c r="HP342" s="1"/>
      <c r="HQ342" s="1"/>
      <c r="HR342" s="1"/>
      <c r="HS342" s="1"/>
      <c r="HT342" s="1"/>
      <c r="HU342" s="1"/>
      <c r="HV342" s="1"/>
      <c r="HW342" s="1"/>
      <c r="HX342" s="1"/>
      <c r="HY342" s="1"/>
      <c r="HZ342" s="1"/>
      <c r="IA342" s="1"/>
      <c r="IB342" s="1"/>
      <c r="IC342" s="1"/>
      <c r="ID342" s="1"/>
      <c r="IE342" s="1"/>
      <c r="IF342" s="1"/>
      <c r="IG342" s="1"/>
      <c r="IH342" s="1"/>
      <c r="II342" s="1"/>
      <c r="IJ342" s="1"/>
      <c r="IK342" s="1"/>
      <c r="IL342" s="1"/>
      <c r="IM342" s="1"/>
      <c r="IN342" s="1"/>
      <c r="IO342" s="1"/>
      <c r="IP342" s="1"/>
      <c r="IQ342" s="1"/>
      <c r="IR342" s="1"/>
      <c r="IS342" s="1"/>
      <c r="IT342" s="1"/>
      <c r="IU342" s="1"/>
      <c r="IV342" s="1"/>
    </row>
    <row r="343" spans="1:256" ht="19.5" customHeight="1" x14ac:dyDescent="0.35">
      <c r="A343" s="1403">
        <v>334</v>
      </c>
      <c r="B343" s="1417"/>
      <c r="C343" s="1414"/>
      <c r="D343" s="1595" t="s">
        <v>775</v>
      </c>
      <c r="F343" s="1"/>
      <c r="G343" s="1"/>
      <c r="H343" s="1"/>
      <c r="I343" s="1"/>
      <c r="J343" s="1"/>
      <c r="K343" s="1"/>
      <c r="L343" s="1"/>
      <c r="M343" s="1"/>
      <c r="N343" s="1"/>
      <c r="O343" s="1"/>
      <c r="P343" s="1"/>
      <c r="Q343" s="1"/>
      <c r="R343" s="1"/>
      <c r="S343" s="1"/>
      <c r="T343" s="1"/>
      <c r="U343" s="1"/>
      <c r="V343" s="1"/>
      <c r="W343" s="1"/>
      <c r="X343" s="1"/>
      <c r="Y343" s="1"/>
      <c r="Z343" s="1"/>
      <c r="AA343" s="1"/>
      <c r="AB343" s="1"/>
      <c r="AC343" s="1"/>
      <c r="AD343" s="1"/>
      <c r="AE343" s="1"/>
      <c r="AF343" s="1"/>
      <c r="AG343" s="1"/>
      <c r="AH343" s="1"/>
      <c r="AI343" s="1"/>
      <c r="AJ343" s="1"/>
      <c r="AK343" s="1"/>
      <c r="AL343" s="1"/>
      <c r="AM343" s="1"/>
      <c r="AN343" s="1"/>
      <c r="AO343" s="1"/>
      <c r="AP343" s="1"/>
      <c r="AQ343" s="1"/>
      <c r="AR343" s="1"/>
      <c r="AS343" s="1"/>
      <c r="AT343" s="1"/>
      <c r="AU343" s="1"/>
      <c r="AV343" s="1"/>
      <c r="AW343" s="1"/>
      <c r="AX343" s="1"/>
      <c r="AY343" s="1"/>
      <c r="AZ343" s="1"/>
      <c r="BA343" s="1"/>
      <c r="BB343" s="1"/>
      <c r="BC343" s="1"/>
      <c r="BD343" s="1"/>
      <c r="BE343" s="1"/>
      <c r="BF343" s="1"/>
      <c r="BG343" s="1"/>
      <c r="BH343" s="1"/>
      <c r="BI343" s="1"/>
      <c r="BJ343" s="1"/>
      <c r="BK343" s="1"/>
      <c r="BL343" s="1"/>
      <c r="BM343" s="1"/>
      <c r="BN343" s="1"/>
      <c r="BO343" s="1"/>
      <c r="BP343" s="1"/>
      <c r="BQ343" s="1"/>
      <c r="BR343" s="1"/>
      <c r="BS343" s="1"/>
      <c r="BT343" s="1"/>
      <c r="BU343" s="1"/>
      <c r="BV343" s="1"/>
      <c r="BW343" s="1"/>
      <c r="BX343" s="1"/>
      <c r="BY343" s="1"/>
      <c r="BZ343" s="1"/>
      <c r="CA343" s="1"/>
      <c r="CB343" s="1"/>
      <c r="CC343" s="1"/>
      <c r="CD343" s="1"/>
      <c r="CE343" s="1"/>
      <c r="CF343" s="1"/>
      <c r="CG343" s="1"/>
      <c r="CH343" s="1"/>
      <c r="CI343" s="1"/>
      <c r="CJ343" s="1"/>
      <c r="CK343" s="1"/>
      <c r="CL343" s="1"/>
      <c r="CM343" s="1"/>
      <c r="CN343" s="1"/>
      <c r="CO343" s="1"/>
      <c r="CP343" s="1"/>
      <c r="CQ343" s="1"/>
      <c r="CR343" s="1"/>
      <c r="CS343" s="1"/>
      <c r="CT343" s="1"/>
      <c r="CU343" s="1"/>
      <c r="CV343" s="1"/>
      <c r="CW343" s="1"/>
      <c r="CX343" s="1"/>
      <c r="CY343" s="1"/>
      <c r="CZ343" s="1"/>
      <c r="DA343" s="1"/>
      <c r="DB343" s="1"/>
      <c r="DC343" s="1"/>
      <c r="DD343" s="1"/>
      <c r="DE343" s="1"/>
      <c r="DF343" s="1"/>
      <c r="DG343" s="1"/>
      <c r="DH343" s="1"/>
      <c r="DI343" s="1"/>
      <c r="DJ343" s="1"/>
      <c r="DK343" s="1"/>
      <c r="DL343" s="1"/>
      <c r="DM343" s="1"/>
      <c r="DN343" s="1"/>
      <c r="DO343" s="1"/>
      <c r="DP343" s="1"/>
      <c r="DQ343" s="1"/>
      <c r="DR343" s="1"/>
      <c r="DS343" s="1"/>
      <c r="DT343" s="1"/>
      <c r="DU343" s="1"/>
      <c r="DV343" s="1"/>
      <c r="DW343" s="1"/>
      <c r="DX343" s="1"/>
      <c r="DY343" s="1"/>
      <c r="DZ343" s="1"/>
      <c r="EA343" s="1"/>
      <c r="EB343" s="1"/>
      <c r="EC343" s="1"/>
      <c r="ED343" s="1"/>
      <c r="EE343" s="1"/>
      <c r="EF343" s="1"/>
      <c r="EG343" s="1"/>
      <c r="EH343" s="1"/>
      <c r="EI343" s="1"/>
      <c r="EJ343" s="1"/>
      <c r="EK343" s="1"/>
      <c r="EL343" s="1"/>
      <c r="EM343" s="1"/>
      <c r="EN343" s="1"/>
      <c r="EO343" s="1"/>
      <c r="EP343" s="1"/>
      <c r="EQ343" s="1"/>
      <c r="ER343" s="1"/>
      <c r="ES343" s="1"/>
      <c r="ET343" s="1"/>
      <c r="EU343" s="1"/>
      <c r="EV343" s="1"/>
      <c r="EW343" s="1"/>
      <c r="EX343" s="1"/>
      <c r="EY343" s="1"/>
      <c r="EZ343" s="1"/>
      <c r="FA343" s="1"/>
      <c r="FB343" s="1"/>
      <c r="FC343" s="1"/>
      <c r="FD343" s="1"/>
      <c r="FE343" s="1"/>
      <c r="FF343" s="1"/>
      <c r="FG343" s="1"/>
      <c r="FH343" s="1"/>
      <c r="FI343" s="1"/>
      <c r="FJ343" s="1"/>
      <c r="FK343" s="1"/>
      <c r="FL343" s="1"/>
      <c r="FM343" s="1"/>
      <c r="FN343" s="1"/>
      <c r="FO343" s="1"/>
      <c r="FP343" s="1"/>
      <c r="FQ343" s="1"/>
      <c r="FR343" s="1"/>
      <c r="FS343" s="1"/>
      <c r="FT343" s="1"/>
      <c r="FU343" s="1"/>
      <c r="FV343" s="1"/>
      <c r="FW343" s="1"/>
      <c r="FX343" s="1"/>
      <c r="FY343" s="1"/>
      <c r="FZ343" s="1"/>
      <c r="GA343" s="1"/>
      <c r="GB343" s="1"/>
      <c r="GC343" s="1"/>
      <c r="GD343" s="1"/>
      <c r="GE343" s="1"/>
      <c r="GF343" s="1"/>
      <c r="GG343" s="1"/>
      <c r="GH343" s="1"/>
      <c r="GI343" s="1"/>
      <c r="GJ343" s="1"/>
      <c r="GK343" s="1"/>
      <c r="GL343" s="1"/>
      <c r="GM343" s="1"/>
      <c r="GN343" s="1"/>
      <c r="GO343" s="1"/>
      <c r="GP343" s="1"/>
      <c r="GQ343" s="1"/>
      <c r="GR343" s="1"/>
      <c r="GS343" s="1"/>
      <c r="GT343" s="1"/>
      <c r="GU343" s="1"/>
      <c r="GV343" s="1"/>
      <c r="GW343" s="1"/>
      <c r="GX343" s="1"/>
      <c r="GY343" s="1"/>
      <c r="GZ343" s="1"/>
      <c r="HA343" s="1"/>
      <c r="HB343" s="1"/>
      <c r="HC343" s="1"/>
      <c r="HD343" s="1"/>
      <c r="HE343" s="1"/>
      <c r="HF343" s="1"/>
      <c r="HG343" s="1"/>
      <c r="HH343" s="1"/>
      <c r="HI343" s="1"/>
      <c r="HJ343" s="1"/>
      <c r="HK343" s="1"/>
      <c r="HL343" s="1"/>
      <c r="HM343" s="1"/>
      <c r="HN343" s="1"/>
      <c r="HO343" s="1"/>
      <c r="HP343" s="1"/>
      <c r="HQ343" s="1"/>
      <c r="HR343" s="1"/>
      <c r="HS343" s="1"/>
      <c r="HT343" s="1"/>
      <c r="HU343" s="1"/>
      <c r="HV343" s="1"/>
      <c r="HW343" s="1"/>
      <c r="HX343" s="1"/>
      <c r="HY343" s="1"/>
      <c r="HZ343" s="1"/>
      <c r="IA343" s="1"/>
      <c r="IB343" s="1"/>
      <c r="IC343" s="1"/>
      <c r="ID343" s="1"/>
      <c r="IE343" s="1"/>
      <c r="IF343" s="1"/>
      <c r="IG343" s="1"/>
      <c r="IH343" s="1"/>
      <c r="II343" s="1"/>
      <c r="IJ343" s="1"/>
      <c r="IK343" s="1"/>
      <c r="IL343" s="1"/>
      <c r="IM343" s="1"/>
      <c r="IN343" s="1"/>
      <c r="IO343" s="1"/>
      <c r="IP343" s="1"/>
      <c r="IQ343" s="1"/>
      <c r="IR343" s="1"/>
      <c r="IS343" s="1"/>
      <c r="IT343" s="1"/>
      <c r="IU343" s="1"/>
      <c r="IV343" s="1"/>
    </row>
    <row r="344" spans="1:256" ht="17.100000000000001" customHeight="1" x14ac:dyDescent="0.35">
      <c r="A344" s="1403">
        <v>335</v>
      </c>
      <c r="B344" s="1417"/>
      <c r="C344" s="1414"/>
      <c r="D344" s="1556" t="s">
        <v>1002</v>
      </c>
      <c r="E344" s="2">
        <v>-789</v>
      </c>
      <c r="F344" s="1"/>
      <c r="G344" s="1"/>
      <c r="H344" s="1"/>
      <c r="I344" s="1"/>
      <c r="J344" s="1"/>
      <c r="K344" s="1"/>
      <c r="L344" s="1"/>
      <c r="M344" s="1"/>
      <c r="N344" s="1"/>
      <c r="O344" s="1"/>
      <c r="P344" s="1"/>
      <c r="Q344" s="1"/>
      <c r="R344" s="1"/>
      <c r="S344" s="1"/>
      <c r="T344" s="1"/>
      <c r="U344" s="1"/>
      <c r="V344" s="1"/>
      <c r="W344" s="1"/>
      <c r="X344" s="1"/>
      <c r="Y344" s="1"/>
      <c r="Z344" s="1"/>
      <c r="AA344" s="1"/>
      <c r="AB344" s="1"/>
      <c r="AC344" s="1"/>
      <c r="AD344" s="1"/>
      <c r="AE344" s="1"/>
      <c r="AF344" s="1"/>
      <c r="AG344" s="1"/>
      <c r="AH344" s="1"/>
      <c r="AI344" s="1"/>
      <c r="AJ344" s="1"/>
      <c r="AK344" s="1"/>
      <c r="AL344" s="1"/>
      <c r="AM344" s="1"/>
      <c r="AN344" s="1"/>
      <c r="AO344" s="1"/>
      <c r="AP344" s="1"/>
      <c r="AQ344" s="1"/>
      <c r="AR344" s="1"/>
      <c r="AS344" s="1"/>
      <c r="AT344" s="1"/>
      <c r="AU344" s="1"/>
      <c r="AV344" s="1"/>
      <c r="AW344" s="1"/>
      <c r="AX344" s="1"/>
      <c r="AY344" s="1"/>
      <c r="AZ344" s="1"/>
      <c r="BA344" s="1"/>
      <c r="BB344" s="1"/>
      <c r="BC344" s="1"/>
      <c r="BD344" s="1"/>
      <c r="BE344" s="1"/>
      <c r="BF344" s="1"/>
      <c r="BG344" s="1"/>
      <c r="BH344" s="1"/>
      <c r="BI344" s="1"/>
      <c r="BJ344" s="1"/>
      <c r="BK344" s="1"/>
      <c r="BL344" s="1"/>
      <c r="BM344" s="1"/>
      <c r="BN344" s="1"/>
      <c r="BO344" s="1"/>
      <c r="BP344" s="1"/>
      <c r="BQ344" s="1"/>
      <c r="BR344" s="1"/>
      <c r="BS344" s="1"/>
      <c r="BT344" s="1"/>
      <c r="BU344" s="1"/>
      <c r="BV344" s="1"/>
      <c r="BW344" s="1"/>
      <c r="BX344" s="1"/>
      <c r="BY344" s="1"/>
      <c r="BZ344" s="1"/>
      <c r="CA344" s="1"/>
      <c r="CB344" s="1"/>
      <c r="CC344" s="1"/>
      <c r="CD344" s="1"/>
      <c r="CE344" s="1"/>
      <c r="CF344" s="1"/>
      <c r="CG344" s="1"/>
      <c r="CH344" s="1"/>
      <c r="CI344" s="1"/>
      <c r="CJ344" s="1"/>
      <c r="CK344" s="1"/>
      <c r="CL344" s="1"/>
      <c r="CM344" s="1"/>
      <c r="CN344" s="1"/>
      <c r="CO344" s="1"/>
      <c r="CP344" s="1"/>
      <c r="CQ344" s="1"/>
      <c r="CR344" s="1"/>
      <c r="CS344" s="1"/>
      <c r="CT344" s="1"/>
      <c r="CU344" s="1"/>
      <c r="CV344" s="1"/>
      <c r="CW344" s="1"/>
      <c r="CX344" s="1"/>
      <c r="CY344" s="1"/>
      <c r="CZ344" s="1"/>
      <c r="DA344" s="1"/>
      <c r="DB344" s="1"/>
      <c r="DC344" s="1"/>
      <c r="DD344" s="1"/>
      <c r="DE344" s="1"/>
      <c r="DF344" s="1"/>
      <c r="DG344" s="1"/>
      <c r="DH344" s="1"/>
      <c r="DI344" s="1"/>
      <c r="DJ344" s="1"/>
      <c r="DK344" s="1"/>
      <c r="DL344" s="1"/>
      <c r="DM344" s="1"/>
      <c r="DN344" s="1"/>
      <c r="DO344" s="1"/>
      <c r="DP344" s="1"/>
      <c r="DQ344" s="1"/>
      <c r="DR344" s="1"/>
      <c r="DS344" s="1"/>
      <c r="DT344" s="1"/>
      <c r="DU344" s="1"/>
      <c r="DV344" s="1"/>
      <c r="DW344" s="1"/>
      <c r="DX344" s="1"/>
      <c r="DY344" s="1"/>
      <c r="DZ344" s="1"/>
      <c r="EA344" s="1"/>
      <c r="EB344" s="1"/>
      <c r="EC344" s="1"/>
      <c r="ED344" s="1"/>
      <c r="EE344" s="1"/>
      <c r="EF344" s="1"/>
      <c r="EG344" s="1"/>
      <c r="EH344" s="1"/>
      <c r="EI344" s="1"/>
      <c r="EJ344" s="1"/>
      <c r="EK344" s="1"/>
      <c r="EL344" s="1"/>
      <c r="EM344" s="1"/>
      <c r="EN344" s="1"/>
      <c r="EO344" s="1"/>
      <c r="EP344" s="1"/>
      <c r="EQ344" s="1"/>
      <c r="ER344" s="1"/>
      <c r="ES344" s="1"/>
      <c r="ET344" s="1"/>
      <c r="EU344" s="1"/>
      <c r="EV344" s="1"/>
      <c r="EW344" s="1"/>
      <c r="EX344" s="1"/>
      <c r="EY344" s="1"/>
      <c r="EZ344" s="1"/>
      <c r="FA344" s="1"/>
      <c r="FB344" s="1"/>
      <c r="FC344" s="1"/>
      <c r="FD344" s="1"/>
      <c r="FE344" s="1"/>
      <c r="FF344" s="1"/>
      <c r="FG344" s="1"/>
      <c r="FH344" s="1"/>
      <c r="FI344" s="1"/>
      <c r="FJ344" s="1"/>
      <c r="FK344" s="1"/>
      <c r="FL344" s="1"/>
      <c r="FM344" s="1"/>
      <c r="FN344" s="1"/>
      <c r="FO344" s="1"/>
      <c r="FP344" s="1"/>
      <c r="FQ344" s="1"/>
      <c r="FR344" s="1"/>
      <c r="FS344" s="1"/>
      <c r="FT344" s="1"/>
      <c r="FU344" s="1"/>
      <c r="FV344" s="1"/>
      <c r="FW344" s="1"/>
      <c r="FX344" s="1"/>
      <c r="FY344" s="1"/>
      <c r="FZ344" s="1"/>
      <c r="GA344" s="1"/>
      <c r="GB344" s="1"/>
      <c r="GC344" s="1"/>
      <c r="GD344" s="1"/>
      <c r="GE344" s="1"/>
      <c r="GF344" s="1"/>
      <c r="GG344" s="1"/>
      <c r="GH344" s="1"/>
      <c r="GI344" s="1"/>
      <c r="GJ344" s="1"/>
      <c r="GK344" s="1"/>
      <c r="GL344" s="1"/>
      <c r="GM344" s="1"/>
      <c r="GN344" s="1"/>
      <c r="GO344" s="1"/>
      <c r="GP344" s="1"/>
      <c r="GQ344" s="1"/>
      <c r="GR344" s="1"/>
      <c r="GS344" s="1"/>
      <c r="GT344" s="1"/>
      <c r="GU344" s="1"/>
      <c r="GV344" s="1"/>
      <c r="GW344" s="1"/>
      <c r="GX344" s="1"/>
      <c r="GY344" s="1"/>
      <c r="GZ344" s="1"/>
      <c r="HA344" s="1"/>
      <c r="HB344" s="1"/>
      <c r="HC344" s="1"/>
      <c r="HD344" s="1"/>
      <c r="HE344" s="1"/>
      <c r="HF344" s="1"/>
      <c r="HG344" s="1"/>
      <c r="HH344" s="1"/>
      <c r="HI344" s="1"/>
      <c r="HJ344" s="1"/>
      <c r="HK344" s="1"/>
      <c r="HL344" s="1"/>
      <c r="HM344" s="1"/>
      <c r="HN344" s="1"/>
      <c r="HO344" s="1"/>
      <c r="HP344" s="1"/>
      <c r="HQ344" s="1"/>
      <c r="HR344" s="1"/>
      <c r="HS344" s="1"/>
      <c r="HT344" s="1"/>
      <c r="HU344" s="1"/>
      <c r="HV344" s="1"/>
      <c r="HW344" s="1"/>
      <c r="HX344" s="1"/>
      <c r="HY344" s="1"/>
      <c r="HZ344" s="1"/>
      <c r="IA344" s="1"/>
      <c r="IB344" s="1"/>
      <c r="IC344" s="1"/>
      <c r="ID344" s="1"/>
      <c r="IE344" s="1"/>
      <c r="IF344" s="1"/>
      <c r="IG344" s="1"/>
      <c r="IH344" s="1"/>
      <c r="II344" s="1"/>
      <c r="IJ344" s="1"/>
      <c r="IK344" s="1"/>
      <c r="IL344" s="1"/>
      <c r="IM344" s="1"/>
      <c r="IN344" s="1"/>
      <c r="IO344" s="1"/>
      <c r="IP344" s="1"/>
      <c r="IQ344" s="1"/>
      <c r="IR344" s="1"/>
      <c r="IS344" s="1"/>
      <c r="IT344" s="1"/>
      <c r="IU344" s="1"/>
      <c r="IV344" s="1"/>
    </row>
    <row r="345" spans="1:256" ht="17.100000000000001" customHeight="1" x14ac:dyDescent="0.35">
      <c r="A345" s="1403">
        <v>336</v>
      </c>
      <c r="B345" s="1417"/>
      <c r="C345" s="1414"/>
      <c r="D345" s="1556" t="s">
        <v>962</v>
      </c>
      <c r="E345" s="2">
        <v>1200</v>
      </c>
      <c r="F345" s="1"/>
      <c r="G345" s="1"/>
      <c r="H345" s="1"/>
      <c r="I345" s="1"/>
      <c r="J345" s="1"/>
      <c r="K345" s="1"/>
      <c r="L345" s="1"/>
      <c r="M345" s="1"/>
      <c r="N345" s="1"/>
      <c r="O345" s="1"/>
      <c r="P345" s="1"/>
      <c r="Q345" s="1"/>
      <c r="R345" s="1"/>
      <c r="S345" s="1"/>
      <c r="T345" s="1"/>
      <c r="U345" s="1"/>
      <c r="V345" s="1"/>
      <c r="W345" s="1"/>
      <c r="X345" s="1"/>
      <c r="Y345" s="1"/>
      <c r="Z345" s="1"/>
      <c r="AA345" s="1"/>
      <c r="AB345" s="1"/>
      <c r="AC345" s="1"/>
      <c r="AD345" s="1"/>
      <c r="AE345" s="1"/>
      <c r="AF345" s="1"/>
      <c r="AG345" s="1"/>
      <c r="AH345" s="1"/>
      <c r="AI345" s="1"/>
      <c r="AJ345" s="1"/>
      <c r="AK345" s="1"/>
      <c r="AL345" s="1"/>
      <c r="AM345" s="1"/>
      <c r="AN345" s="1"/>
      <c r="AO345" s="1"/>
      <c r="AP345" s="1"/>
      <c r="AQ345" s="1"/>
      <c r="AR345" s="1"/>
      <c r="AS345" s="1"/>
      <c r="AT345" s="1"/>
      <c r="AU345" s="1"/>
      <c r="AV345" s="1"/>
      <c r="AW345" s="1"/>
      <c r="AX345" s="1"/>
      <c r="AY345" s="1"/>
      <c r="AZ345" s="1"/>
      <c r="BA345" s="1"/>
      <c r="BB345" s="1"/>
      <c r="BC345" s="1"/>
      <c r="BD345" s="1"/>
      <c r="BE345" s="1"/>
      <c r="BF345" s="1"/>
      <c r="BG345" s="1"/>
      <c r="BH345" s="1"/>
      <c r="BI345" s="1"/>
      <c r="BJ345" s="1"/>
      <c r="BK345" s="1"/>
      <c r="BL345" s="1"/>
      <c r="BM345" s="1"/>
      <c r="BN345" s="1"/>
      <c r="BO345" s="1"/>
      <c r="BP345" s="1"/>
      <c r="BQ345" s="1"/>
      <c r="BR345" s="1"/>
      <c r="BS345" s="1"/>
      <c r="BT345" s="1"/>
      <c r="BU345" s="1"/>
      <c r="BV345" s="1"/>
      <c r="BW345" s="1"/>
      <c r="BX345" s="1"/>
      <c r="BY345" s="1"/>
      <c r="BZ345" s="1"/>
      <c r="CA345" s="1"/>
      <c r="CB345" s="1"/>
      <c r="CC345" s="1"/>
      <c r="CD345" s="1"/>
      <c r="CE345" s="1"/>
      <c r="CF345" s="1"/>
      <c r="CG345" s="1"/>
      <c r="CH345" s="1"/>
      <c r="CI345" s="1"/>
      <c r="CJ345" s="1"/>
      <c r="CK345" s="1"/>
      <c r="CL345" s="1"/>
      <c r="CM345" s="1"/>
      <c r="CN345" s="1"/>
      <c r="CO345" s="1"/>
      <c r="CP345" s="1"/>
      <c r="CQ345" s="1"/>
      <c r="CR345" s="1"/>
      <c r="CS345" s="1"/>
      <c r="CT345" s="1"/>
      <c r="CU345" s="1"/>
      <c r="CV345" s="1"/>
      <c r="CW345" s="1"/>
      <c r="CX345" s="1"/>
      <c r="CY345" s="1"/>
      <c r="CZ345" s="1"/>
      <c r="DA345" s="1"/>
      <c r="DB345" s="1"/>
      <c r="DC345" s="1"/>
      <c r="DD345" s="1"/>
      <c r="DE345" s="1"/>
      <c r="DF345" s="1"/>
      <c r="DG345" s="1"/>
      <c r="DH345" s="1"/>
      <c r="DI345" s="1"/>
      <c r="DJ345" s="1"/>
      <c r="DK345" s="1"/>
      <c r="DL345" s="1"/>
      <c r="DM345" s="1"/>
      <c r="DN345" s="1"/>
      <c r="DO345" s="1"/>
      <c r="DP345" s="1"/>
      <c r="DQ345" s="1"/>
      <c r="DR345" s="1"/>
      <c r="DS345" s="1"/>
      <c r="DT345" s="1"/>
      <c r="DU345" s="1"/>
      <c r="DV345" s="1"/>
      <c r="DW345" s="1"/>
      <c r="DX345" s="1"/>
      <c r="DY345" s="1"/>
      <c r="DZ345" s="1"/>
      <c r="EA345" s="1"/>
      <c r="EB345" s="1"/>
      <c r="EC345" s="1"/>
      <c r="ED345" s="1"/>
      <c r="EE345" s="1"/>
      <c r="EF345" s="1"/>
      <c r="EG345" s="1"/>
      <c r="EH345" s="1"/>
      <c r="EI345" s="1"/>
      <c r="EJ345" s="1"/>
      <c r="EK345" s="1"/>
      <c r="EL345" s="1"/>
      <c r="EM345" s="1"/>
      <c r="EN345" s="1"/>
      <c r="EO345" s="1"/>
      <c r="EP345" s="1"/>
      <c r="EQ345" s="1"/>
      <c r="ER345" s="1"/>
      <c r="ES345" s="1"/>
      <c r="ET345" s="1"/>
      <c r="EU345" s="1"/>
      <c r="EV345" s="1"/>
      <c r="EW345" s="1"/>
      <c r="EX345" s="1"/>
      <c r="EY345" s="1"/>
      <c r="EZ345" s="1"/>
      <c r="FA345" s="1"/>
      <c r="FB345" s="1"/>
      <c r="FC345" s="1"/>
      <c r="FD345" s="1"/>
      <c r="FE345" s="1"/>
      <c r="FF345" s="1"/>
      <c r="FG345" s="1"/>
      <c r="FH345" s="1"/>
      <c r="FI345" s="1"/>
      <c r="FJ345" s="1"/>
      <c r="FK345" s="1"/>
      <c r="FL345" s="1"/>
      <c r="FM345" s="1"/>
      <c r="FN345" s="1"/>
      <c r="FO345" s="1"/>
      <c r="FP345" s="1"/>
      <c r="FQ345" s="1"/>
      <c r="FR345" s="1"/>
      <c r="FS345" s="1"/>
      <c r="FT345" s="1"/>
      <c r="FU345" s="1"/>
      <c r="FV345" s="1"/>
      <c r="FW345" s="1"/>
      <c r="FX345" s="1"/>
      <c r="FY345" s="1"/>
      <c r="FZ345" s="1"/>
      <c r="GA345" s="1"/>
      <c r="GB345" s="1"/>
      <c r="GC345" s="1"/>
      <c r="GD345" s="1"/>
      <c r="GE345" s="1"/>
      <c r="GF345" s="1"/>
      <c r="GG345" s="1"/>
      <c r="GH345" s="1"/>
      <c r="GI345" s="1"/>
      <c r="GJ345" s="1"/>
      <c r="GK345" s="1"/>
      <c r="GL345" s="1"/>
      <c r="GM345" s="1"/>
      <c r="GN345" s="1"/>
      <c r="GO345" s="1"/>
      <c r="GP345" s="1"/>
      <c r="GQ345" s="1"/>
      <c r="GR345" s="1"/>
      <c r="GS345" s="1"/>
      <c r="GT345" s="1"/>
      <c r="GU345" s="1"/>
      <c r="GV345" s="1"/>
      <c r="GW345" s="1"/>
      <c r="GX345" s="1"/>
      <c r="GY345" s="1"/>
      <c r="GZ345" s="1"/>
      <c r="HA345" s="1"/>
      <c r="HB345" s="1"/>
      <c r="HC345" s="1"/>
      <c r="HD345" s="1"/>
      <c r="HE345" s="1"/>
      <c r="HF345" s="1"/>
      <c r="HG345" s="1"/>
      <c r="HH345" s="1"/>
      <c r="HI345" s="1"/>
      <c r="HJ345" s="1"/>
      <c r="HK345" s="1"/>
      <c r="HL345" s="1"/>
      <c r="HM345" s="1"/>
      <c r="HN345" s="1"/>
      <c r="HO345" s="1"/>
      <c r="HP345" s="1"/>
      <c r="HQ345" s="1"/>
      <c r="HR345" s="1"/>
      <c r="HS345" s="1"/>
      <c r="HT345" s="1"/>
      <c r="HU345" s="1"/>
      <c r="HV345" s="1"/>
      <c r="HW345" s="1"/>
      <c r="HX345" s="1"/>
      <c r="HY345" s="1"/>
      <c r="HZ345" s="1"/>
      <c r="IA345" s="1"/>
      <c r="IB345" s="1"/>
      <c r="IC345" s="1"/>
      <c r="ID345" s="1"/>
      <c r="IE345" s="1"/>
      <c r="IF345" s="1"/>
      <c r="IG345" s="1"/>
      <c r="IH345" s="1"/>
      <c r="II345" s="1"/>
      <c r="IJ345" s="1"/>
      <c r="IK345" s="1"/>
      <c r="IL345" s="1"/>
      <c r="IM345" s="1"/>
      <c r="IN345" s="1"/>
      <c r="IO345" s="1"/>
      <c r="IP345" s="1"/>
      <c r="IQ345" s="1"/>
      <c r="IR345" s="1"/>
      <c r="IS345" s="1"/>
      <c r="IT345" s="1"/>
      <c r="IU345" s="1"/>
      <c r="IV345" s="1"/>
    </row>
    <row r="346" spans="1:256" ht="17.100000000000001" customHeight="1" x14ac:dyDescent="0.35">
      <c r="A346" s="1403">
        <v>337</v>
      </c>
      <c r="B346" s="1417"/>
      <c r="C346" s="1414"/>
      <c r="D346" s="1556" t="s">
        <v>1110</v>
      </c>
      <c r="E346" s="2">
        <v>-3078</v>
      </c>
      <c r="F346" s="1"/>
      <c r="G346" s="1"/>
      <c r="H346" s="1"/>
      <c r="I346" s="1"/>
      <c r="J346" s="1"/>
      <c r="K346" s="1"/>
      <c r="L346" s="1"/>
      <c r="M346" s="1"/>
      <c r="N346" s="1"/>
      <c r="O346" s="1"/>
      <c r="P346" s="1"/>
      <c r="Q346" s="1"/>
      <c r="R346" s="1"/>
      <c r="S346" s="1"/>
      <c r="T346" s="1"/>
      <c r="U346" s="1"/>
      <c r="V346" s="1"/>
      <c r="W346" s="1"/>
      <c r="X346" s="1"/>
      <c r="Y346" s="1"/>
      <c r="Z346" s="1"/>
      <c r="AA346" s="1"/>
      <c r="AB346" s="1"/>
      <c r="AC346" s="1"/>
      <c r="AD346" s="1"/>
      <c r="AE346" s="1"/>
      <c r="AF346" s="1"/>
      <c r="AG346" s="1"/>
      <c r="AH346" s="1"/>
      <c r="AI346" s="1"/>
      <c r="AJ346" s="1"/>
      <c r="AK346" s="1"/>
      <c r="AL346" s="1"/>
      <c r="AM346" s="1"/>
      <c r="AN346" s="1"/>
      <c r="AO346" s="1"/>
      <c r="AP346" s="1"/>
      <c r="AQ346" s="1"/>
      <c r="AR346" s="1"/>
      <c r="AS346" s="1"/>
      <c r="AT346" s="1"/>
      <c r="AU346" s="1"/>
      <c r="AV346" s="1"/>
      <c r="AW346" s="1"/>
      <c r="AX346" s="1"/>
      <c r="AY346" s="1"/>
      <c r="AZ346" s="1"/>
      <c r="BA346" s="1"/>
      <c r="BB346" s="1"/>
      <c r="BC346" s="1"/>
      <c r="BD346" s="1"/>
      <c r="BE346" s="1"/>
      <c r="BF346" s="1"/>
      <c r="BG346" s="1"/>
      <c r="BH346" s="1"/>
      <c r="BI346" s="1"/>
      <c r="BJ346" s="1"/>
      <c r="BK346" s="1"/>
      <c r="BL346" s="1"/>
      <c r="BM346" s="1"/>
      <c r="BN346" s="1"/>
      <c r="BO346" s="1"/>
      <c r="BP346" s="1"/>
      <c r="BQ346" s="1"/>
      <c r="BR346" s="1"/>
      <c r="BS346" s="1"/>
      <c r="BT346" s="1"/>
      <c r="BU346" s="1"/>
      <c r="BV346" s="1"/>
      <c r="BW346" s="1"/>
      <c r="BX346" s="1"/>
      <c r="BY346" s="1"/>
      <c r="BZ346" s="1"/>
      <c r="CA346" s="1"/>
      <c r="CB346" s="1"/>
      <c r="CC346" s="1"/>
      <c r="CD346" s="1"/>
      <c r="CE346" s="1"/>
      <c r="CF346" s="1"/>
      <c r="CG346" s="1"/>
      <c r="CH346" s="1"/>
      <c r="CI346" s="1"/>
      <c r="CJ346" s="1"/>
      <c r="CK346" s="1"/>
      <c r="CL346" s="1"/>
      <c r="CM346" s="1"/>
      <c r="CN346" s="1"/>
      <c r="CO346" s="1"/>
      <c r="CP346" s="1"/>
      <c r="CQ346" s="1"/>
      <c r="CR346" s="1"/>
      <c r="CS346" s="1"/>
      <c r="CT346" s="1"/>
      <c r="CU346" s="1"/>
      <c r="CV346" s="1"/>
      <c r="CW346" s="1"/>
      <c r="CX346" s="1"/>
      <c r="CY346" s="1"/>
      <c r="CZ346" s="1"/>
      <c r="DA346" s="1"/>
      <c r="DB346" s="1"/>
      <c r="DC346" s="1"/>
      <c r="DD346" s="1"/>
      <c r="DE346" s="1"/>
      <c r="DF346" s="1"/>
      <c r="DG346" s="1"/>
      <c r="DH346" s="1"/>
      <c r="DI346" s="1"/>
      <c r="DJ346" s="1"/>
      <c r="DK346" s="1"/>
      <c r="DL346" s="1"/>
      <c r="DM346" s="1"/>
      <c r="DN346" s="1"/>
      <c r="DO346" s="1"/>
      <c r="DP346" s="1"/>
      <c r="DQ346" s="1"/>
      <c r="DR346" s="1"/>
      <c r="DS346" s="1"/>
      <c r="DT346" s="1"/>
      <c r="DU346" s="1"/>
      <c r="DV346" s="1"/>
      <c r="DW346" s="1"/>
      <c r="DX346" s="1"/>
      <c r="DY346" s="1"/>
      <c r="DZ346" s="1"/>
      <c r="EA346" s="1"/>
      <c r="EB346" s="1"/>
      <c r="EC346" s="1"/>
      <c r="ED346" s="1"/>
      <c r="EE346" s="1"/>
      <c r="EF346" s="1"/>
      <c r="EG346" s="1"/>
      <c r="EH346" s="1"/>
      <c r="EI346" s="1"/>
      <c r="EJ346" s="1"/>
      <c r="EK346" s="1"/>
      <c r="EL346" s="1"/>
      <c r="EM346" s="1"/>
      <c r="EN346" s="1"/>
      <c r="EO346" s="1"/>
      <c r="EP346" s="1"/>
      <c r="EQ346" s="1"/>
      <c r="ER346" s="1"/>
      <c r="ES346" s="1"/>
      <c r="ET346" s="1"/>
      <c r="EU346" s="1"/>
      <c r="EV346" s="1"/>
      <c r="EW346" s="1"/>
      <c r="EX346" s="1"/>
      <c r="EY346" s="1"/>
      <c r="EZ346" s="1"/>
      <c r="FA346" s="1"/>
      <c r="FB346" s="1"/>
      <c r="FC346" s="1"/>
      <c r="FD346" s="1"/>
      <c r="FE346" s="1"/>
      <c r="FF346" s="1"/>
      <c r="FG346" s="1"/>
      <c r="FH346" s="1"/>
      <c r="FI346" s="1"/>
      <c r="FJ346" s="1"/>
      <c r="FK346" s="1"/>
      <c r="FL346" s="1"/>
      <c r="FM346" s="1"/>
      <c r="FN346" s="1"/>
      <c r="FO346" s="1"/>
      <c r="FP346" s="1"/>
      <c r="FQ346" s="1"/>
      <c r="FR346" s="1"/>
      <c r="FS346" s="1"/>
      <c r="FT346" s="1"/>
      <c r="FU346" s="1"/>
      <c r="FV346" s="1"/>
      <c r="FW346" s="1"/>
      <c r="FX346" s="1"/>
      <c r="FY346" s="1"/>
      <c r="FZ346" s="1"/>
      <c r="GA346" s="1"/>
      <c r="GB346" s="1"/>
      <c r="GC346" s="1"/>
      <c r="GD346" s="1"/>
      <c r="GE346" s="1"/>
      <c r="GF346" s="1"/>
      <c r="GG346" s="1"/>
      <c r="GH346" s="1"/>
      <c r="GI346" s="1"/>
      <c r="GJ346" s="1"/>
      <c r="GK346" s="1"/>
      <c r="GL346" s="1"/>
      <c r="GM346" s="1"/>
      <c r="GN346" s="1"/>
      <c r="GO346" s="1"/>
      <c r="GP346" s="1"/>
      <c r="GQ346" s="1"/>
      <c r="GR346" s="1"/>
      <c r="GS346" s="1"/>
      <c r="GT346" s="1"/>
      <c r="GU346" s="1"/>
      <c r="GV346" s="1"/>
      <c r="GW346" s="1"/>
      <c r="GX346" s="1"/>
      <c r="GY346" s="1"/>
      <c r="GZ346" s="1"/>
      <c r="HA346" s="1"/>
      <c r="HB346" s="1"/>
      <c r="HC346" s="1"/>
      <c r="HD346" s="1"/>
      <c r="HE346" s="1"/>
      <c r="HF346" s="1"/>
      <c r="HG346" s="1"/>
      <c r="HH346" s="1"/>
      <c r="HI346" s="1"/>
      <c r="HJ346" s="1"/>
      <c r="HK346" s="1"/>
      <c r="HL346" s="1"/>
      <c r="HM346" s="1"/>
      <c r="HN346" s="1"/>
      <c r="HO346" s="1"/>
      <c r="HP346" s="1"/>
      <c r="HQ346" s="1"/>
      <c r="HR346" s="1"/>
      <c r="HS346" s="1"/>
      <c r="HT346" s="1"/>
      <c r="HU346" s="1"/>
      <c r="HV346" s="1"/>
      <c r="HW346" s="1"/>
      <c r="HX346" s="1"/>
      <c r="HY346" s="1"/>
      <c r="HZ346" s="1"/>
      <c r="IA346" s="1"/>
      <c r="IB346" s="1"/>
      <c r="IC346" s="1"/>
      <c r="ID346" s="1"/>
      <c r="IE346" s="1"/>
      <c r="IF346" s="1"/>
      <c r="IG346" s="1"/>
      <c r="IH346" s="1"/>
      <c r="II346" s="1"/>
      <c r="IJ346" s="1"/>
      <c r="IK346" s="1"/>
      <c r="IL346" s="1"/>
      <c r="IM346" s="1"/>
      <c r="IN346" s="1"/>
      <c r="IO346" s="1"/>
      <c r="IP346" s="1"/>
      <c r="IQ346" s="1"/>
      <c r="IR346" s="1"/>
      <c r="IS346" s="1"/>
      <c r="IT346" s="1"/>
      <c r="IU346" s="1"/>
      <c r="IV346" s="1"/>
    </row>
    <row r="347" spans="1:256" ht="17.100000000000001" customHeight="1" x14ac:dyDescent="0.35">
      <c r="A347" s="1403">
        <v>338</v>
      </c>
      <c r="B347" s="1417"/>
      <c r="C347" s="1414"/>
      <c r="D347" s="1556" t="s">
        <v>837</v>
      </c>
      <c r="E347" s="2">
        <v>-236789</v>
      </c>
      <c r="F347" s="1"/>
      <c r="G347" s="1"/>
      <c r="H347" s="1"/>
      <c r="I347" s="1"/>
      <c r="J347" s="1"/>
      <c r="K347" s="1"/>
      <c r="L347" s="1"/>
      <c r="M347" s="1"/>
      <c r="N347" s="1"/>
      <c r="O347" s="1"/>
      <c r="P347" s="1"/>
      <c r="Q347" s="1"/>
      <c r="R347" s="1"/>
      <c r="S347" s="1"/>
      <c r="T347" s="1"/>
      <c r="U347" s="1"/>
      <c r="V347" s="1"/>
      <c r="W347" s="1"/>
      <c r="X347" s="1"/>
      <c r="Y347" s="1"/>
      <c r="Z347" s="1"/>
      <c r="AA347" s="1"/>
      <c r="AB347" s="1"/>
      <c r="AC347" s="1"/>
      <c r="AD347" s="1"/>
      <c r="AE347" s="1"/>
      <c r="AF347" s="1"/>
      <c r="AG347" s="1"/>
      <c r="AH347" s="1"/>
      <c r="AI347" s="1"/>
      <c r="AJ347" s="1"/>
      <c r="AK347" s="1"/>
      <c r="AL347" s="1"/>
      <c r="AM347" s="1"/>
      <c r="AN347" s="1"/>
      <c r="AO347" s="1"/>
      <c r="AP347" s="1"/>
      <c r="AQ347" s="1"/>
      <c r="AR347" s="1"/>
      <c r="AS347" s="1"/>
      <c r="AT347" s="1"/>
      <c r="AU347" s="1"/>
      <c r="AV347" s="1"/>
      <c r="AW347" s="1"/>
      <c r="AX347" s="1"/>
      <c r="AY347" s="1"/>
      <c r="AZ347" s="1"/>
      <c r="BA347" s="1"/>
      <c r="BB347" s="1"/>
      <c r="BC347" s="1"/>
      <c r="BD347" s="1"/>
      <c r="BE347" s="1"/>
      <c r="BF347" s="1"/>
      <c r="BG347" s="1"/>
      <c r="BH347" s="1"/>
      <c r="BI347" s="1"/>
      <c r="BJ347" s="1"/>
      <c r="BK347" s="1"/>
      <c r="BL347" s="1"/>
      <c r="BM347" s="1"/>
      <c r="BN347" s="1"/>
      <c r="BO347" s="1"/>
      <c r="BP347" s="1"/>
      <c r="BQ347" s="1"/>
      <c r="BR347" s="1"/>
      <c r="BS347" s="1"/>
      <c r="BT347" s="1"/>
      <c r="BU347" s="1"/>
      <c r="BV347" s="1"/>
      <c r="BW347" s="1"/>
      <c r="BX347" s="1"/>
      <c r="BY347" s="1"/>
      <c r="BZ347" s="1"/>
      <c r="CA347" s="1"/>
      <c r="CB347" s="1"/>
      <c r="CC347" s="1"/>
      <c r="CD347" s="1"/>
      <c r="CE347" s="1"/>
      <c r="CF347" s="1"/>
      <c r="CG347" s="1"/>
      <c r="CH347" s="1"/>
      <c r="CI347" s="1"/>
      <c r="CJ347" s="1"/>
      <c r="CK347" s="1"/>
      <c r="CL347" s="1"/>
      <c r="CM347" s="1"/>
      <c r="CN347" s="1"/>
      <c r="CO347" s="1"/>
      <c r="CP347" s="1"/>
      <c r="CQ347" s="1"/>
      <c r="CR347" s="1"/>
      <c r="CS347" s="1"/>
      <c r="CT347" s="1"/>
      <c r="CU347" s="1"/>
      <c r="CV347" s="1"/>
      <c r="CW347" s="1"/>
      <c r="CX347" s="1"/>
      <c r="CY347" s="1"/>
      <c r="CZ347" s="1"/>
      <c r="DA347" s="1"/>
      <c r="DB347" s="1"/>
      <c r="DC347" s="1"/>
      <c r="DD347" s="1"/>
      <c r="DE347" s="1"/>
      <c r="DF347" s="1"/>
      <c r="DG347" s="1"/>
      <c r="DH347" s="1"/>
      <c r="DI347" s="1"/>
      <c r="DJ347" s="1"/>
      <c r="DK347" s="1"/>
      <c r="DL347" s="1"/>
      <c r="DM347" s="1"/>
      <c r="DN347" s="1"/>
      <c r="DO347" s="1"/>
      <c r="DP347" s="1"/>
      <c r="DQ347" s="1"/>
      <c r="DR347" s="1"/>
      <c r="DS347" s="1"/>
      <c r="DT347" s="1"/>
      <c r="DU347" s="1"/>
      <c r="DV347" s="1"/>
      <c r="DW347" s="1"/>
      <c r="DX347" s="1"/>
      <c r="DY347" s="1"/>
      <c r="DZ347" s="1"/>
      <c r="EA347" s="1"/>
      <c r="EB347" s="1"/>
      <c r="EC347" s="1"/>
      <c r="ED347" s="1"/>
      <c r="EE347" s="1"/>
      <c r="EF347" s="1"/>
      <c r="EG347" s="1"/>
      <c r="EH347" s="1"/>
      <c r="EI347" s="1"/>
      <c r="EJ347" s="1"/>
      <c r="EK347" s="1"/>
      <c r="EL347" s="1"/>
      <c r="EM347" s="1"/>
      <c r="EN347" s="1"/>
      <c r="EO347" s="1"/>
      <c r="EP347" s="1"/>
      <c r="EQ347" s="1"/>
      <c r="ER347" s="1"/>
      <c r="ES347" s="1"/>
      <c r="ET347" s="1"/>
      <c r="EU347" s="1"/>
      <c r="EV347" s="1"/>
      <c r="EW347" s="1"/>
      <c r="EX347" s="1"/>
      <c r="EY347" s="1"/>
      <c r="EZ347" s="1"/>
      <c r="FA347" s="1"/>
      <c r="FB347" s="1"/>
      <c r="FC347" s="1"/>
      <c r="FD347" s="1"/>
      <c r="FE347" s="1"/>
      <c r="FF347" s="1"/>
      <c r="FG347" s="1"/>
      <c r="FH347" s="1"/>
      <c r="FI347" s="1"/>
      <c r="FJ347" s="1"/>
      <c r="FK347" s="1"/>
      <c r="FL347" s="1"/>
      <c r="FM347" s="1"/>
      <c r="FN347" s="1"/>
      <c r="FO347" s="1"/>
      <c r="FP347" s="1"/>
      <c r="FQ347" s="1"/>
      <c r="FR347" s="1"/>
      <c r="FS347" s="1"/>
      <c r="FT347" s="1"/>
      <c r="FU347" s="1"/>
      <c r="FV347" s="1"/>
      <c r="FW347" s="1"/>
      <c r="FX347" s="1"/>
      <c r="FY347" s="1"/>
      <c r="FZ347" s="1"/>
      <c r="GA347" s="1"/>
      <c r="GB347" s="1"/>
      <c r="GC347" s="1"/>
      <c r="GD347" s="1"/>
      <c r="GE347" s="1"/>
      <c r="GF347" s="1"/>
      <c r="GG347" s="1"/>
      <c r="GH347" s="1"/>
      <c r="GI347" s="1"/>
      <c r="GJ347" s="1"/>
      <c r="GK347" s="1"/>
      <c r="GL347" s="1"/>
      <c r="GM347" s="1"/>
      <c r="GN347" s="1"/>
      <c r="GO347" s="1"/>
      <c r="GP347" s="1"/>
      <c r="GQ347" s="1"/>
      <c r="GR347" s="1"/>
      <c r="GS347" s="1"/>
      <c r="GT347" s="1"/>
      <c r="GU347" s="1"/>
      <c r="GV347" s="1"/>
      <c r="GW347" s="1"/>
      <c r="GX347" s="1"/>
      <c r="GY347" s="1"/>
      <c r="GZ347" s="1"/>
      <c r="HA347" s="1"/>
      <c r="HB347" s="1"/>
      <c r="HC347" s="1"/>
      <c r="HD347" s="1"/>
      <c r="HE347" s="1"/>
      <c r="HF347" s="1"/>
      <c r="HG347" s="1"/>
      <c r="HH347" s="1"/>
      <c r="HI347" s="1"/>
      <c r="HJ347" s="1"/>
      <c r="HK347" s="1"/>
      <c r="HL347" s="1"/>
      <c r="HM347" s="1"/>
      <c r="HN347" s="1"/>
      <c r="HO347" s="1"/>
      <c r="HP347" s="1"/>
      <c r="HQ347" s="1"/>
      <c r="HR347" s="1"/>
      <c r="HS347" s="1"/>
      <c r="HT347" s="1"/>
      <c r="HU347" s="1"/>
      <c r="HV347" s="1"/>
      <c r="HW347" s="1"/>
      <c r="HX347" s="1"/>
      <c r="HY347" s="1"/>
      <c r="HZ347" s="1"/>
      <c r="IA347" s="1"/>
      <c r="IB347" s="1"/>
      <c r="IC347" s="1"/>
      <c r="ID347" s="1"/>
      <c r="IE347" s="1"/>
      <c r="IF347" s="1"/>
      <c r="IG347" s="1"/>
      <c r="IH347" s="1"/>
      <c r="II347" s="1"/>
      <c r="IJ347" s="1"/>
      <c r="IK347" s="1"/>
      <c r="IL347" s="1"/>
      <c r="IM347" s="1"/>
      <c r="IN347" s="1"/>
      <c r="IO347" s="1"/>
      <c r="IP347" s="1"/>
      <c r="IQ347" s="1"/>
      <c r="IR347" s="1"/>
      <c r="IS347" s="1"/>
      <c r="IT347" s="1"/>
      <c r="IU347" s="1"/>
      <c r="IV347" s="1"/>
    </row>
    <row r="348" spans="1:256" ht="17.100000000000001" customHeight="1" x14ac:dyDescent="0.35">
      <c r="A348" s="1403">
        <v>339</v>
      </c>
      <c r="B348" s="1417"/>
      <c r="C348" s="1414"/>
      <c r="D348" s="1556" t="s">
        <v>1147</v>
      </c>
      <c r="E348" s="2">
        <v>-10000</v>
      </c>
      <c r="F348" s="1"/>
      <c r="G348" s="1"/>
      <c r="H348" s="1"/>
      <c r="I348" s="1"/>
      <c r="J348" s="1"/>
      <c r="K348" s="1"/>
      <c r="L348" s="1"/>
      <c r="M348" s="1"/>
      <c r="N348" s="1"/>
      <c r="O348" s="1"/>
      <c r="P348" s="1"/>
      <c r="Q348" s="1"/>
      <c r="R348" s="1"/>
      <c r="S348" s="1"/>
      <c r="T348" s="1"/>
      <c r="U348" s="1"/>
      <c r="V348" s="1"/>
      <c r="W348" s="1"/>
      <c r="X348" s="1"/>
      <c r="Y348" s="1"/>
      <c r="Z348" s="1"/>
      <c r="AA348" s="1"/>
      <c r="AB348" s="1"/>
      <c r="AC348" s="1"/>
      <c r="AD348" s="1"/>
      <c r="AE348" s="1"/>
      <c r="AF348" s="1"/>
      <c r="AG348" s="1"/>
      <c r="AH348" s="1"/>
      <c r="AI348" s="1"/>
      <c r="AJ348" s="1"/>
      <c r="AK348" s="1"/>
      <c r="AL348" s="1"/>
      <c r="AM348" s="1"/>
      <c r="AN348" s="1"/>
      <c r="AO348" s="1"/>
      <c r="AP348" s="1"/>
      <c r="AQ348" s="1"/>
      <c r="AR348" s="1"/>
      <c r="AS348" s="1"/>
      <c r="AT348" s="1"/>
      <c r="AU348" s="1"/>
      <c r="AV348" s="1"/>
      <c r="AW348" s="1"/>
      <c r="AX348" s="1"/>
      <c r="AY348" s="1"/>
      <c r="AZ348" s="1"/>
      <c r="BA348" s="1"/>
      <c r="BB348" s="1"/>
      <c r="BC348" s="1"/>
      <c r="BD348" s="1"/>
      <c r="BE348" s="1"/>
      <c r="BF348" s="1"/>
      <c r="BG348" s="1"/>
      <c r="BH348" s="1"/>
      <c r="BI348" s="1"/>
      <c r="BJ348" s="1"/>
      <c r="BK348" s="1"/>
      <c r="BL348" s="1"/>
      <c r="BM348" s="1"/>
      <c r="BN348" s="1"/>
      <c r="BO348" s="1"/>
      <c r="BP348" s="1"/>
      <c r="BQ348" s="1"/>
      <c r="BR348" s="1"/>
      <c r="BS348" s="1"/>
      <c r="BT348" s="1"/>
      <c r="BU348" s="1"/>
      <c r="BV348" s="1"/>
      <c r="BW348" s="1"/>
      <c r="BX348" s="1"/>
      <c r="BY348" s="1"/>
      <c r="BZ348" s="1"/>
      <c r="CA348" s="1"/>
      <c r="CB348" s="1"/>
      <c r="CC348" s="1"/>
      <c r="CD348" s="1"/>
      <c r="CE348" s="1"/>
      <c r="CF348" s="1"/>
      <c r="CG348" s="1"/>
      <c r="CH348" s="1"/>
      <c r="CI348" s="1"/>
      <c r="CJ348" s="1"/>
      <c r="CK348" s="1"/>
      <c r="CL348" s="1"/>
      <c r="CM348" s="1"/>
      <c r="CN348" s="1"/>
      <c r="CO348" s="1"/>
      <c r="CP348" s="1"/>
      <c r="CQ348" s="1"/>
      <c r="CR348" s="1"/>
      <c r="CS348" s="1"/>
      <c r="CT348" s="1"/>
      <c r="CU348" s="1"/>
      <c r="CV348" s="1"/>
      <c r="CW348" s="1"/>
      <c r="CX348" s="1"/>
      <c r="CY348" s="1"/>
      <c r="CZ348" s="1"/>
      <c r="DA348" s="1"/>
      <c r="DB348" s="1"/>
      <c r="DC348" s="1"/>
      <c r="DD348" s="1"/>
      <c r="DE348" s="1"/>
      <c r="DF348" s="1"/>
      <c r="DG348" s="1"/>
      <c r="DH348" s="1"/>
      <c r="DI348" s="1"/>
      <c r="DJ348" s="1"/>
      <c r="DK348" s="1"/>
      <c r="DL348" s="1"/>
      <c r="DM348" s="1"/>
      <c r="DN348" s="1"/>
      <c r="DO348" s="1"/>
      <c r="DP348" s="1"/>
      <c r="DQ348" s="1"/>
      <c r="DR348" s="1"/>
      <c r="DS348" s="1"/>
      <c r="DT348" s="1"/>
      <c r="DU348" s="1"/>
      <c r="DV348" s="1"/>
      <c r="DW348" s="1"/>
      <c r="DX348" s="1"/>
      <c r="DY348" s="1"/>
      <c r="DZ348" s="1"/>
      <c r="EA348" s="1"/>
      <c r="EB348" s="1"/>
      <c r="EC348" s="1"/>
      <c r="ED348" s="1"/>
      <c r="EE348" s="1"/>
      <c r="EF348" s="1"/>
      <c r="EG348" s="1"/>
      <c r="EH348" s="1"/>
      <c r="EI348" s="1"/>
      <c r="EJ348" s="1"/>
      <c r="EK348" s="1"/>
      <c r="EL348" s="1"/>
      <c r="EM348" s="1"/>
      <c r="EN348" s="1"/>
      <c r="EO348" s="1"/>
      <c r="EP348" s="1"/>
      <c r="EQ348" s="1"/>
      <c r="ER348" s="1"/>
      <c r="ES348" s="1"/>
      <c r="ET348" s="1"/>
      <c r="EU348" s="1"/>
      <c r="EV348" s="1"/>
      <c r="EW348" s="1"/>
      <c r="EX348" s="1"/>
      <c r="EY348" s="1"/>
      <c r="EZ348" s="1"/>
      <c r="FA348" s="1"/>
      <c r="FB348" s="1"/>
      <c r="FC348" s="1"/>
      <c r="FD348" s="1"/>
      <c r="FE348" s="1"/>
      <c r="FF348" s="1"/>
      <c r="FG348" s="1"/>
      <c r="FH348" s="1"/>
      <c r="FI348" s="1"/>
      <c r="FJ348" s="1"/>
      <c r="FK348" s="1"/>
      <c r="FL348" s="1"/>
      <c r="FM348" s="1"/>
      <c r="FN348" s="1"/>
      <c r="FO348" s="1"/>
      <c r="FP348" s="1"/>
      <c r="FQ348" s="1"/>
      <c r="FR348" s="1"/>
      <c r="FS348" s="1"/>
      <c r="FT348" s="1"/>
      <c r="FU348" s="1"/>
      <c r="FV348" s="1"/>
      <c r="FW348" s="1"/>
      <c r="FX348" s="1"/>
      <c r="FY348" s="1"/>
      <c r="FZ348" s="1"/>
      <c r="GA348" s="1"/>
      <c r="GB348" s="1"/>
      <c r="GC348" s="1"/>
      <c r="GD348" s="1"/>
      <c r="GE348" s="1"/>
      <c r="GF348" s="1"/>
      <c r="GG348" s="1"/>
      <c r="GH348" s="1"/>
      <c r="GI348" s="1"/>
      <c r="GJ348" s="1"/>
      <c r="GK348" s="1"/>
      <c r="GL348" s="1"/>
      <c r="GM348" s="1"/>
      <c r="GN348" s="1"/>
      <c r="GO348" s="1"/>
      <c r="GP348" s="1"/>
      <c r="GQ348" s="1"/>
      <c r="GR348" s="1"/>
      <c r="GS348" s="1"/>
      <c r="GT348" s="1"/>
      <c r="GU348" s="1"/>
      <c r="GV348" s="1"/>
      <c r="GW348" s="1"/>
      <c r="GX348" s="1"/>
      <c r="GY348" s="1"/>
      <c r="GZ348" s="1"/>
      <c r="HA348" s="1"/>
      <c r="HB348" s="1"/>
      <c r="HC348" s="1"/>
      <c r="HD348" s="1"/>
      <c r="HE348" s="1"/>
      <c r="HF348" s="1"/>
      <c r="HG348" s="1"/>
      <c r="HH348" s="1"/>
      <c r="HI348" s="1"/>
      <c r="HJ348" s="1"/>
      <c r="HK348" s="1"/>
      <c r="HL348" s="1"/>
      <c r="HM348" s="1"/>
      <c r="HN348" s="1"/>
      <c r="HO348" s="1"/>
      <c r="HP348" s="1"/>
      <c r="HQ348" s="1"/>
      <c r="HR348" s="1"/>
      <c r="HS348" s="1"/>
      <c r="HT348" s="1"/>
      <c r="HU348" s="1"/>
      <c r="HV348" s="1"/>
      <c r="HW348" s="1"/>
      <c r="HX348" s="1"/>
      <c r="HY348" s="1"/>
      <c r="HZ348" s="1"/>
      <c r="IA348" s="1"/>
      <c r="IB348" s="1"/>
      <c r="IC348" s="1"/>
      <c r="ID348" s="1"/>
      <c r="IE348" s="1"/>
      <c r="IF348" s="1"/>
      <c r="IG348" s="1"/>
      <c r="IH348" s="1"/>
      <c r="II348" s="1"/>
      <c r="IJ348" s="1"/>
      <c r="IK348" s="1"/>
      <c r="IL348" s="1"/>
      <c r="IM348" s="1"/>
      <c r="IN348" s="1"/>
      <c r="IO348" s="1"/>
      <c r="IP348" s="1"/>
      <c r="IQ348" s="1"/>
      <c r="IR348" s="1"/>
      <c r="IS348" s="1"/>
      <c r="IT348" s="1"/>
      <c r="IU348" s="1"/>
      <c r="IV348" s="1"/>
    </row>
    <row r="349" spans="1:256" ht="17.100000000000001" customHeight="1" x14ac:dyDescent="0.35">
      <c r="A349" s="1403">
        <v>340</v>
      </c>
      <c r="B349" s="1417"/>
      <c r="C349" s="1414"/>
      <c r="D349" s="1556" t="s">
        <v>826</v>
      </c>
      <c r="E349" s="22">
        <f>-12000+5000</f>
        <v>-7000</v>
      </c>
      <c r="F349" s="1"/>
      <c r="G349" s="1"/>
      <c r="H349" s="1"/>
      <c r="I349" s="1"/>
      <c r="J349" s="1"/>
      <c r="K349" s="1"/>
      <c r="L349" s="1"/>
      <c r="M349" s="1"/>
      <c r="N349" s="1"/>
      <c r="O349" s="1"/>
      <c r="P349" s="1"/>
      <c r="Q349" s="1"/>
      <c r="R349" s="1"/>
      <c r="S349" s="1"/>
      <c r="T349" s="1"/>
      <c r="U349" s="1"/>
      <c r="V349" s="1"/>
      <c r="W349" s="1"/>
      <c r="X349" s="1"/>
      <c r="Y349" s="1"/>
      <c r="Z349" s="1"/>
      <c r="AA349" s="1"/>
      <c r="AB349" s="1"/>
      <c r="AC349" s="1"/>
      <c r="AD349" s="1"/>
      <c r="AE349" s="1"/>
      <c r="AF349" s="1"/>
      <c r="AG349" s="1"/>
      <c r="AH349" s="1"/>
      <c r="AI349" s="1"/>
      <c r="AJ349" s="1"/>
      <c r="AK349" s="1"/>
      <c r="AL349" s="1"/>
      <c r="AM349" s="1"/>
      <c r="AN349" s="1"/>
      <c r="AO349" s="1"/>
      <c r="AP349" s="1"/>
      <c r="AQ349" s="1"/>
      <c r="AR349" s="1"/>
      <c r="AS349" s="1"/>
      <c r="AT349" s="1"/>
      <c r="AU349" s="1"/>
      <c r="AV349" s="1"/>
      <c r="AW349" s="1"/>
      <c r="AX349" s="1"/>
      <c r="AY349" s="1"/>
      <c r="AZ349" s="1"/>
      <c r="BA349" s="1"/>
      <c r="BB349" s="1"/>
      <c r="BC349" s="1"/>
      <c r="BD349" s="1"/>
      <c r="BE349" s="1"/>
      <c r="BF349" s="1"/>
      <c r="BG349" s="1"/>
      <c r="BH349" s="1"/>
      <c r="BI349" s="1"/>
      <c r="BJ349" s="1"/>
      <c r="BK349" s="1"/>
      <c r="BL349" s="1"/>
      <c r="BM349" s="1"/>
      <c r="BN349" s="1"/>
      <c r="BO349" s="1"/>
      <c r="BP349" s="1"/>
      <c r="BQ349" s="1"/>
      <c r="BR349" s="1"/>
      <c r="BS349" s="1"/>
      <c r="BT349" s="1"/>
      <c r="BU349" s="1"/>
      <c r="BV349" s="1"/>
      <c r="BW349" s="1"/>
      <c r="BX349" s="1"/>
      <c r="BY349" s="1"/>
      <c r="BZ349" s="1"/>
      <c r="CA349" s="1"/>
      <c r="CB349" s="1"/>
      <c r="CC349" s="1"/>
      <c r="CD349" s="1"/>
      <c r="CE349" s="1"/>
      <c r="CF349" s="1"/>
      <c r="CG349" s="1"/>
      <c r="CH349" s="1"/>
      <c r="CI349" s="1"/>
      <c r="CJ349" s="1"/>
      <c r="CK349" s="1"/>
      <c r="CL349" s="1"/>
      <c r="CM349" s="1"/>
      <c r="CN349" s="1"/>
      <c r="CO349" s="1"/>
      <c r="CP349" s="1"/>
      <c r="CQ349" s="1"/>
      <c r="CR349" s="1"/>
      <c r="CS349" s="1"/>
      <c r="CT349" s="1"/>
      <c r="CU349" s="1"/>
      <c r="CV349" s="1"/>
      <c r="CW349" s="1"/>
      <c r="CX349" s="1"/>
      <c r="CY349" s="1"/>
      <c r="CZ349" s="1"/>
      <c r="DA349" s="1"/>
      <c r="DB349" s="1"/>
      <c r="DC349" s="1"/>
      <c r="DD349" s="1"/>
      <c r="DE349" s="1"/>
      <c r="DF349" s="1"/>
      <c r="DG349" s="1"/>
      <c r="DH349" s="1"/>
      <c r="DI349" s="1"/>
      <c r="DJ349" s="1"/>
      <c r="DK349" s="1"/>
      <c r="DL349" s="1"/>
      <c r="DM349" s="1"/>
      <c r="DN349" s="1"/>
      <c r="DO349" s="1"/>
      <c r="DP349" s="1"/>
      <c r="DQ349" s="1"/>
      <c r="DR349" s="1"/>
      <c r="DS349" s="1"/>
      <c r="DT349" s="1"/>
      <c r="DU349" s="1"/>
      <c r="DV349" s="1"/>
      <c r="DW349" s="1"/>
      <c r="DX349" s="1"/>
      <c r="DY349" s="1"/>
      <c r="DZ349" s="1"/>
      <c r="EA349" s="1"/>
      <c r="EB349" s="1"/>
      <c r="EC349" s="1"/>
      <c r="ED349" s="1"/>
      <c r="EE349" s="1"/>
      <c r="EF349" s="1"/>
      <c r="EG349" s="1"/>
      <c r="EH349" s="1"/>
      <c r="EI349" s="1"/>
      <c r="EJ349" s="1"/>
      <c r="EK349" s="1"/>
      <c r="EL349" s="1"/>
      <c r="EM349" s="1"/>
      <c r="EN349" s="1"/>
      <c r="EO349" s="1"/>
      <c r="EP349" s="1"/>
      <c r="EQ349" s="1"/>
      <c r="ER349" s="1"/>
      <c r="ES349" s="1"/>
      <c r="ET349" s="1"/>
      <c r="EU349" s="1"/>
      <c r="EV349" s="1"/>
      <c r="EW349" s="1"/>
      <c r="EX349" s="1"/>
      <c r="EY349" s="1"/>
      <c r="EZ349" s="1"/>
      <c r="FA349" s="1"/>
      <c r="FB349" s="1"/>
      <c r="FC349" s="1"/>
      <c r="FD349" s="1"/>
      <c r="FE349" s="1"/>
      <c r="FF349" s="1"/>
      <c r="FG349" s="1"/>
      <c r="FH349" s="1"/>
      <c r="FI349" s="1"/>
      <c r="FJ349" s="1"/>
      <c r="FK349" s="1"/>
      <c r="FL349" s="1"/>
      <c r="FM349" s="1"/>
      <c r="FN349" s="1"/>
      <c r="FO349" s="1"/>
      <c r="FP349" s="1"/>
      <c r="FQ349" s="1"/>
      <c r="FR349" s="1"/>
      <c r="FS349" s="1"/>
      <c r="FT349" s="1"/>
      <c r="FU349" s="1"/>
      <c r="FV349" s="1"/>
      <c r="FW349" s="1"/>
      <c r="FX349" s="1"/>
      <c r="FY349" s="1"/>
      <c r="FZ349" s="1"/>
      <c r="GA349" s="1"/>
      <c r="GB349" s="1"/>
      <c r="GC349" s="1"/>
      <c r="GD349" s="1"/>
      <c r="GE349" s="1"/>
      <c r="GF349" s="1"/>
      <c r="GG349" s="1"/>
      <c r="GH349" s="1"/>
      <c r="GI349" s="1"/>
      <c r="GJ349" s="1"/>
      <c r="GK349" s="1"/>
      <c r="GL349" s="1"/>
      <c r="GM349" s="1"/>
      <c r="GN349" s="1"/>
      <c r="GO349" s="1"/>
      <c r="GP349" s="1"/>
      <c r="GQ349" s="1"/>
      <c r="GR349" s="1"/>
      <c r="GS349" s="1"/>
      <c r="GT349" s="1"/>
      <c r="GU349" s="1"/>
      <c r="GV349" s="1"/>
      <c r="GW349" s="1"/>
      <c r="GX349" s="1"/>
      <c r="GY349" s="1"/>
      <c r="GZ349" s="1"/>
      <c r="HA349" s="1"/>
      <c r="HB349" s="1"/>
      <c r="HC349" s="1"/>
      <c r="HD349" s="1"/>
      <c r="HE349" s="1"/>
      <c r="HF349" s="1"/>
      <c r="HG349" s="1"/>
      <c r="HH349" s="1"/>
      <c r="HI349" s="1"/>
      <c r="HJ349" s="1"/>
      <c r="HK349" s="1"/>
      <c r="HL349" s="1"/>
      <c r="HM349" s="1"/>
      <c r="HN349" s="1"/>
      <c r="HO349" s="1"/>
      <c r="HP349" s="1"/>
      <c r="HQ349" s="1"/>
      <c r="HR349" s="1"/>
      <c r="HS349" s="1"/>
      <c r="HT349" s="1"/>
      <c r="HU349" s="1"/>
      <c r="HV349" s="1"/>
      <c r="HW349" s="1"/>
      <c r="HX349" s="1"/>
      <c r="HY349" s="1"/>
      <c r="HZ349" s="1"/>
      <c r="IA349" s="1"/>
      <c r="IB349" s="1"/>
      <c r="IC349" s="1"/>
      <c r="ID349" s="1"/>
      <c r="IE349" s="1"/>
      <c r="IF349" s="1"/>
      <c r="IG349" s="1"/>
      <c r="IH349" s="1"/>
      <c r="II349" s="1"/>
      <c r="IJ349" s="1"/>
      <c r="IK349" s="1"/>
      <c r="IL349" s="1"/>
      <c r="IM349" s="1"/>
      <c r="IN349" s="1"/>
      <c r="IO349" s="1"/>
      <c r="IP349" s="1"/>
      <c r="IQ349" s="1"/>
      <c r="IR349" s="1"/>
      <c r="IS349" s="1"/>
      <c r="IT349" s="1"/>
      <c r="IU349" s="1"/>
      <c r="IV349" s="1"/>
    </row>
    <row r="350" spans="1:256" ht="18" customHeight="1" x14ac:dyDescent="0.35">
      <c r="A350" s="1403">
        <v>341</v>
      </c>
      <c r="B350" s="1417"/>
      <c r="C350" s="1414"/>
      <c r="D350" s="1596" t="s">
        <v>101</v>
      </c>
      <c r="E350" s="2">
        <f>SUM(E344:E349)</f>
        <v>-256456</v>
      </c>
      <c r="F350" s="1"/>
      <c r="G350" s="1"/>
      <c r="H350" s="1"/>
      <c r="I350" s="1"/>
      <c r="J350" s="1"/>
      <c r="K350" s="1"/>
      <c r="L350" s="1"/>
      <c r="M350" s="1"/>
      <c r="N350" s="1"/>
      <c r="O350" s="1"/>
      <c r="P350" s="1"/>
      <c r="Q350" s="1"/>
      <c r="R350" s="1"/>
      <c r="S350" s="1"/>
      <c r="T350" s="1"/>
      <c r="U350" s="1"/>
      <c r="V350" s="1"/>
      <c r="W350" s="1"/>
      <c r="X350" s="1"/>
      <c r="Y350" s="1"/>
      <c r="Z350" s="1"/>
      <c r="AA350" s="1"/>
      <c r="AB350" s="1"/>
      <c r="AC350" s="1"/>
      <c r="AD350" s="1"/>
      <c r="AE350" s="1"/>
      <c r="AF350" s="1"/>
      <c r="AG350" s="1"/>
      <c r="AH350" s="1"/>
      <c r="AI350" s="1"/>
      <c r="AJ350" s="1"/>
      <c r="AK350" s="1"/>
      <c r="AL350" s="1"/>
      <c r="AM350" s="1"/>
      <c r="AN350" s="1"/>
      <c r="AO350" s="1"/>
      <c r="AP350" s="1"/>
      <c r="AQ350" s="1"/>
      <c r="AR350" s="1"/>
      <c r="AS350" s="1"/>
      <c r="AT350" s="1"/>
      <c r="AU350" s="1"/>
      <c r="AV350" s="1"/>
      <c r="AW350" s="1"/>
      <c r="AX350" s="1"/>
      <c r="AY350" s="1"/>
      <c r="AZ350" s="1"/>
      <c r="BA350" s="1"/>
      <c r="BB350" s="1"/>
      <c r="BC350" s="1"/>
      <c r="BD350" s="1"/>
      <c r="BE350" s="1"/>
      <c r="BF350" s="1"/>
      <c r="BG350" s="1"/>
      <c r="BH350" s="1"/>
      <c r="BI350" s="1"/>
      <c r="BJ350" s="1"/>
      <c r="BK350" s="1"/>
      <c r="BL350" s="1"/>
      <c r="BM350" s="1"/>
      <c r="BN350" s="1"/>
      <c r="BO350" s="1"/>
      <c r="BP350" s="1"/>
      <c r="BQ350" s="1"/>
      <c r="BR350" s="1"/>
      <c r="BS350" s="1"/>
      <c r="BT350" s="1"/>
      <c r="BU350" s="1"/>
      <c r="BV350" s="1"/>
      <c r="BW350" s="1"/>
      <c r="BX350" s="1"/>
      <c r="BY350" s="1"/>
      <c r="BZ350" s="1"/>
      <c r="CA350" s="1"/>
      <c r="CB350" s="1"/>
      <c r="CC350" s="1"/>
      <c r="CD350" s="1"/>
      <c r="CE350" s="1"/>
      <c r="CF350" s="1"/>
      <c r="CG350" s="1"/>
      <c r="CH350" s="1"/>
      <c r="CI350" s="1"/>
      <c r="CJ350" s="1"/>
      <c r="CK350" s="1"/>
      <c r="CL350" s="1"/>
      <c r="CM350" s="1"/>
      <c r="CN350" s="1"/>
      <c r="CO350" s="1"/>
      <c r="CP350" s="1"/>
      <c r="CQ350" s="1"/>
      <c r="CR350" s="1"/>
      <c r="CS350" s="1"/>
      <c r="CT350" s="1"/>
      <c r="CU350" s="1"/>
      <c r="CV350" s="1"/>
      <c r="CW350" s="1"/>
      <c r="CX350" s="1"/>
      <c r="CY350" s="1"/>
      <c r="CZ350" s="1"/>
      <c r="DA350" s="1"/>
      <c r="DB350" s="1"/>
      <c r="DC350" s="1"/>
      <c r="DD350" s="1"/>
      <c r="DE350" s="1"/>
      <c r="DF350" s="1"/>
      <c r="DG350" s="1"/>
      <c r="DH350" s="1"/>
      <c r="DI350" s="1"/>
      <c r="DJ350" s="1"/>
      <c r="DK350" s="1"/>
      <c r="DL350" s="1"/>
      <c r="DM350" s="1"/>
      <c r="DN350" s="1"/>
      <c r="DO350" s="1"/>
      <c r="DP350" s="1"/>
      <c r="DQ350" s="1"/>
      <c r="DR350" s="1"/>
      <c r="DS350" s="1"/>
      <c r="DT350" s="1"/>
      <c r="DU350" s="1"/>
      <c r="DV350" s="1"/>
      <c r="DW350" s="1"/>
      <c r="DX350" s="1"/>
      <c r="DY350" s="1"/>
      <c r="DZ350" s="1"/>
      <c r="EA350" s="1"/>
      <c r="EB350" s="1"/>
      <c r="EC350" s="1"/>
      <c r="ED350" s="1"/>
      <c r="EE350" s="1"/>
      <c r="EF350" s="1"/>
      <c r="EG350" s="1"/>
      <c r="EH350" s="1"/>
      <c r="EI350" s="1"/>
      <c r="EJ350" s="1"/>
      <c r="EK350" s="1"/>
      <c r="EL350" s="1"/>
      <c r="EM350" s="1"/>
      <c r="EN350" s="1"/>
      <c r="EO350" s="1"/>
      <c r="EP350" s="1"/>
      <c r="EQ350" s="1"/>
      <c r="ER350" s="1"/>
      <c r="ES350" s="1"/>
      <c r="ET350" s="1"/>
      <c r="EU350" s="1"/>
      <c r="EV350" s="1"/>
      <c r="EW350" s="1"/>
      <c r="EX350" s="1"/>
      <c r="EY350" s="1"/>
      <c r="EZ350" s="1"/>
      <c r="FA350" s="1"/>
      <c r="FB350" s="1"/>
      <c r="FC350" s="1"/>
      <c r="FD350" s="1"/>
      <c r="FE350" s="1"/>
      <c r="FF350" s="1"/>
      <c r="FG350" s="1"/>
      <c r="FH350" s="1"/>
      <c r="FI350" s="1"/>
      <c r="FJ350" s="1"/>
      <c r="FK350" s="1"/>
      <c r="FL350" s="1"/>
      <c r="FM350" s="1"/>
      <c r="FN350" s="1"/>
      <c r="FO350" s="1"/>
      <c r="FP350" s="1"/>
      <c r="FQ350" s="1"/>
      <c r="FR350" s="1"/>
      <c r="FS350" s="1"/>
      <c r="FT350" s="1"/>
      <c r="FU350" s="1"/>
      <c r="FV350" s="1"/>
      <c r="FW350" s="1"/>
      <c r="FX350" s="1"/>
      <c r="FY350" s="1"/>
      <c r="FZ350" s="1"/>
      <c r="GA350" s="1"/>
      <c r="GB350" s="1"/>
      <c r="GC350" s="1"/>
      <c r="GD350" s="1"/>
      <c r="GE350" s="1"/>
      <c r="GF350" s="1"/>
      <c r="GG350" s="1"/>
      <c r="GH350" s="1"/>
      <c r="GI350" s="1"/>
      <c r="GJ350" s="1"/>
      <c r="GK350" s="1"/>
      <c r="GL350" s="1"/>
      <c r="GM350" s="1"/>
      <c r="GN350" s="1"/>
      <c r="GO350" s="1"/>
      <c r="GP350" s="1"/>
      <c r="GQ350" s="1"/>
      <c r="GR350" s="1"/>
      <c r="GS350" s="1"/>
      <c r="GT350" s="1"/>
      <c r="GU350" s="1"/>
      <c r="GV350" s="1"/>
      <c r="GW350" s="1"/>
      <c r="GX350" s="1"/>
      <c r="GY350" s="1"/>
      <c r="GZ350" s="1"/>
      <c r="HA350" s="1"/>
      <c r="HB350" s="1"/>
      <c r="HC350" s="1"/>
      <c r="HD350" s="1"/>
      <c r="HE350" s="1"/>
      <c r="HF350" s="1"/>
      <c r="HG350" s="1"/>
      <c r="HH350" s="1"/>
      <c r="HI350" s="1"/>
      <c r="HJ350" s="1"/>
      <c r="HK350" s="1"/>
      <c r="HL350" s="1"/>
      <c r="HM350" s="1"/>
      <c r="HN350" s="1"/>
      <c r="HO350" s="1"/>
      <c r="HP350" s="1"/>
      <c r="HQ350" s="1"/>
      <c r="HR350" s="1"/>
      <c r="HS350" s="1"/>
      <c r="HT350" s="1"/>
      <c r="HU350" s="1"/>
      <c r="HV350" s="1"/>
      <c r="HW350" s="1"/>
      <c r="HX350" s="1"/>
      <c r="HY350" s="1"/>
      <c r="HZ350" s="1"/>
      <c r="IA350" s="1"/>
      <c r="IB350" s="1"/>
      <c r="IC350" s="1"/>
      <c r="ID350" s="1"/>
      <c r="IE350" s="1"/>
      <c r="IF350" s="1"/>
      <c r="IG350" s="1"/>
      <c r="IH350" s="1"/>
      <c r="II350" s="1"/>
      <c r="IJ350" s="1"/>
      <c r="IK350" s="1"/>
      <c r="IL350" s="1"/>
      <c r="IM350" s="1"/>
      <c r="IN350" s="1"/>
      <c r="IO350" s="1"/>
      <c r="IP350" s="1"/>
      <c r="IQ350" s="1"/>
      <c r="IR350" s="1"/>
      <c r="IS350" s="1"/>
      <c r="IT350" s="1"/>
      <c r="IU350" s="1"/>
      <c r="IV350" s="1"/>
    </row>
    <row r="351" spans="1:256" ht="19.5" customHeight="1" x14ac:dyDescent="0.35">
      <c r="A351" s="1403">
        <v>342</v>
      </c>
      <c r="B351" s="1417"/>
      <c r="C351" s="1417"/>
      <c r="D351" s="1595" t="s">
        <v>776</v>
      </c>
      <c r="F351" s="1"/>
      <c r="G351" s="1"/>
      <c r="H351" s="1"/>
      <c r="I351" s="1"/>
      <c r="J351" s="1"/>
      <c r="K351" s="1"/>
      <c r="L351" s="1"/>
      <c r="M351" s="1"/>
      <c r="N351" s="1"/>
      <c r="O351" s="1"/>
      <c r="P351" s="1"/>
      <c r="Q351" s="1"/>
      <c r="R351" s="1"/>
      <c r="S351" s="1"/>
      <c r="T351" s="1"/>
      <c r="U351" s="1"/>
      <c r="V351" s="1"/>
      <c r="W351" s="1"/>
      <c r="X351" s="1"/>
      <c r="Y351" s="1"/>
      <c r="Z351" s="1"/>
      <c r="AA351" s="1"/>
      <c r="AB351" s="1"/>
      <c r="AC351" s="1"/>
      <c r="AD351" s="1"/>
      <c r="AE351" s="1"/>
      <c r="AF351" s="1"/>
      <c r="AG351" s="1"/>
      <c r="AH351" s="1"/>
      <c r="AI351" s="1"/>
      <c r="AJ351" s="1"/>
      <c r="AK351" s="1"/>
      <c r="AL351" s="1"/>
      <c r="AM351" s="1"/>
      <c r="AN351" s="1"/>
      <c r="AO351" s="1"/>
      <c r="AP351" s="1"/>
      <c r="AQ351" s="1"/>
      <c r="AR351" s="1"/>
      <c r="AS351" s="1"/>
      <c r="AT351" s="1"/>
      <c r="AU351" s="1"/>
      <c r="AV351" s="1"/>
      <c r="AW351" s="1"/>
      <c r="AX351" s="1"/>
      <c r="AY351" s="1"/>
      <c r="AZ351" s="1"/>
      <c r="BA351" s="1"/>
      <c r="BB351" s="1"/>
      <c r="BC351" s="1"/>
      <c r="BD351" s="1"/>
      <c r="BE351" s="1"/>
      <c r="BF351" s="1"/>
      <c r="BG351" s="1"/>
      <c r="BH351" s="1"/>
      <c r="BI351" s="1"/>
      <c r="BJ351" s="1"/>
      <c r="BK351" s="1"/>
      <c r="BL351" s="1"/>
      <c r="BM351" s="1"/>
      <c r="BN351" s="1"/>
      <c r="BO351" s="1"/>
      <c r="BP351" s="1"/>
      <c r="BQ351" s="1"/>
      <c r="BR351" s="1"/>
      <c r="BS351" s="1"/>
      <c r="BT351" s="1"/>
      <c r="BU351" s="1"/>
      <c r="BV351" s="1"/>
      <c r="BW351" s="1"/>
      <c r="BX351" s="1"/>
      <c r="BY351" s="1"/>
      <c r="BZ351" s="1"/>
      <c r="CA351" s="1"/>
      <c r="CB351" s="1"/>
      <c r="CC351" s="1"/>
      <c r="CD351" s="1"/>
      <c r="CE351" s="1"/>
      <c r="CF351" s="1"/>
      <c r="CG351" s="1"/>
      <c r="CH351" s="1"/>
      <c r="CI351" s="1"/>
      <c r="CJ351" s="1"/>
      <c r="CK351" s="1"/>
      <c r="CL351" s="1"/>
      <c r="CM351" s="1"/>
      <c r="CN351" s="1"/>
      <c r="CO351" s="1"/>
      <c r="CP351" s="1"/>
      <c r="CQ351" s="1"/>
      <c r="CR351" s="1"/>
      <c r="CS351" s="1"/>
      <c r="CT351" s="1"/>
      <c r="CU351" s="1"/>
      <c r="CV351" s="1"/>
      <c r="CW351" s="1"/>
      <c r="CX351" s="1"/>
      <c r="CY351" s="1"/>
      <c r="CZ351" s="1"/>
      <c r="DA351" s="1"/>
      <c r="DB351" s="1"/>
      <c r="DC351" s="1"/>
      <c r="DD351" s="1"/>
      <c r="DE351" s="1"/>
      <c r="DF351" s="1"/>
      <c r="DG351" s="1"/>
      <c r="DH351" s="1"/>
      <c r="DI351" s="1"/>
      <c r="DJ351" s="1"/>
      <c r="DK351" s="1"/>
      <c r="DL351" s="1"/>
      <c r="DM351" s="1"/>
      <c r="DN351" s="1"/>
      <c r="DO351" s="1"/>
      <c r="DP351" s="1"/>
      <c r="DQ351" s="1"/>
      <c r="DR351" s="1"/>
      <c r="DS351" s="1"/>
      <c r="DT351" s="1"/>
      <c r="DU351" s="1"/>
      <c r="DV351" s="1"/>
      <c r="DW351" s="1"/>
      <c r="DX351" s="1"/>
      <c r="DY351" s="1"/>
      <c r="DZ351" s="1"/>
      <c r="EA351" s="1"/>
      <c r="EB351" s="1"/>
      <c r="EC351" s="1"/>
      <c r="ED351" s="1"/>
      <c r="EE351" s="1"/>
      <c r="EF351" s="1"/>
      <c r="EG351" s="1"/>
      <c r="EH351" s="1"/>
      <c r="EI351" s="1"/>
      <c r="EJ351" s="1"/>
      <c r="EK351" s="1"/>
      <c r="EL351" s="1"/>
      <c r="EM351" s="1"/>
      <c r="EN351" s="1"/>
      <c r="EO351" s="1"/>
      <c r="EP351" s="1"/>
      <c r="EQ351" s="1"/>
      <c r="ER351" s="1"/>
      <c r="ES351" s="1"/>
      <c r="ET351" s="1"/>
      <c r="EU351" s="1"/>
      <c r="EV351" s="1"/>
      <c r="EW351" s="1"/>
      <c r="EX351" s="1"/>
      <c r="EY351" s="1"/>
      <c r="EZ351" s="1"/>
      <c r="FA351" s="1"/>
      <c r="FB351" s="1"/>
      <c r="FC351" s="1"/>
      <c r="FD351" s="1"/>
      <c r="FE351" s="1"/>
      <c r="FF351" s="1"/>
      <c r="FG351" s="1"/>
      <c r="FH351" s="1"/>
      <c r="FI351" s="1"/>
      <c r="FJ351" s="1"/>
      <c r="FK351" s="1"/>
      <c r="FL351" s="1"/>
      <c r="FM351" s="1"/>
      <c r="FN351" s="1"/>
      <c r="FO351" s="1"/>
      <c r="FP351" s="1"/>
      <c r="FQ351" s="1"/>
      <c r="FR351" s="1"/>
      <c r="FS351" s="1"/>
      <c r="FT351" s="1"/>
      <c r="FU351" s="1"/>
      <c r="FV351" s="1"/>
      <c r="FW351" s="1"/>
      <c r="FX351" s="1"/>
      <c r="FY351" s="1"/>
      <c r="FZ351" s="1"/>
      <c r="GA351" s="1"/>
      <c r="GB351" s="1"/>
      <c r="GC351" s="1"/>
      <c r="GD351" s="1"/>
      <c r="GE351" s="1"/>
      <c r="GF351" s="1"/>
      <c r="GG351" s="1"/>
      <c r="GH351" s="1"/>
      <c r="GI351" s="1"/>
      <c r="GJ351" s="1"/>
      <c r="GK351" s="1"/>
      <c r="GL351" s="1"/>
      <c r="GM351" s="1"/>
      <c r="GN351" s="1"/>
      <c r="GO351" s="1"/>
      <c r="GP351" s="1"/>
      <c r="GQ351" s="1"/>
      <c r="GR351" s="1"/>
      <c r="GS351" s="1"/>
      <c r="GT351" s="1"/>
      <c r="GU351" s="1"/>
      <c r="GV351" s="1"/>
      <c r="GW351" s="1"/>
      <c r="GX351" s="1"/>
      <c r="GY351" s="1"/>
      <c r="GZ351" s="1"/>
      <c r="HA351" s="1"/>
      <c r="HB351" s="1"/>
      <c r="HC351" s="1"/>
      <c r="HD351" s="1"/>
      <c r="HE351" s="1"/>
      <c r="HF351" s="1"/>
      <c r="HG351" s="1"/>
      <c r="HH351" s="1"/>
      <c r="HI351" s="1"/>
      <c r="HJ351" s="1"/>
      <c r="HK351" s="1"/>
      <c r="HL351" s="1"/>
      <c r="HM351" s="1"/>
      <c r="HN351" s="1"/>
      <c r="HO351" s="1"/>
      <c r="HP351" s="1"/>
      <c r="HQ351" s="1"/>
      <c r="HR351" s="1"/>
      <c r="HS351" s="1"/>
      <c r="HT351" s="1"/>
      <c r="HU351" s="1"/>
      <c r="HV351" s="1"/>
      <c r="HW351" s="1"/>
      <c r="HX351" s="1"/>
      <c r="HY351" s="1"/>
      <c r="HZ351" s="1"/>
      <c r="IA351" s="1"/>
      <c r="IB351" s="1"/>
      <c r="IC351" s="1"/>
      <c r="ID351" s="1"/>
      <c r="IE351" s="1"/>
      <c r="IF351" s="1"/>
      <c r="IG351" s="1"/>
      <c r="IH351" s="1"/>
      <c r="II351" s="1"/>
      <c r="IJ351" s="1"/>
      <c r="IK351" s="1"/>
      <c r="IL351" s="1"/>
      <c r="IM351" s="1"/>
      <c r="IN351" s="1"/>
      <c r="IO351" s="1"/>
      <c r="IP351" s="1"/>
      <c r="IQ351" s="1"/>
      <c r="IR351" s="1"/>
      <c r="IS351" s="1"/>
      <c r="IT351" s="1"/>
      <c r="IU351" s="1"/>
      <c r="IV351" s="1"/>
    </row>
    <row r="352" spans="1:256" ht="19.5" customHeight="1" x14ac:dyDescent="0.3">
      <c r="A352" s="1403">
        <v>343</v>
      </c>
      <c r="B352" s="1417"/>
      <c r="C352" s="1417"/>
      <c r="D352" s="1556" t="s">
        <v>1146</v>
      </c>
      <c r="E352" s="2">
        <v>5000</v>
      </c>
      <c r="F352" s="1"/>
      <c r="G352" s="1"/>
      <c r="H352" s="1"/>
      <c r="I352" s="1"/>
      <c r="J352" s="1"/>
      <c r="K352" s="1"/>
      <c r="L352" s="1"/>
      <c r="M352" s="1"/>
      <c r="N352" s="1"/>
      <c r="O352" s="1"/>
      <c r="P352" s="1"/>
      <c r="Q352" s="1"/>
      <c r="R352" s="1"/>
      <c r="S352" s="1"/>
      <c r="T352" s="1"/>
      <c r="U352" s="1"/>
      <c r="V352" s="1"/>
      <c r="W352" s="1"/>
      <c r="X352" s="1"/>
      <c r="Y352" s="1"/>
      <c r="Z352" s="1"/>
      <c r="AA352" s="1"/>
      <c r="AB352" s="1"/>
      <c r="AC352" s="1"/>
      <c r="AD352" s="1"/>
      <c r="AE352" s="1"/>
      <c r="AF352" s="1"/>
      <c r="AG352" s="1"/>
      <c r="AH352" s="1"/>
      <c r="AI352" s="1"/>
      <c r="AJ352" s="1"/>
      <c r="AK352" s="1"/>
      <c r="AL352" s="1"/>
      <c r="AM352" s="1"/>
      <c r="AN352" s="1"/>
      <c r="AO352" s="1"/>
      <c r="AP352" s="1"/>
      <c r="AQ352" s="1"/>
      <c r="AR352" s="1"/>
      <c r="AS352" s="1"/>
      <c r="AT352" s="1"/>
      <c r="AU352" s="1"/>
      <c r="AV352" s="1"/>
      <c r="AW352" s="1"/>
      <c r="AX352" s="1"/>
      <c r="AY352" s="1"/>
      <c r="AZ352" s="1"/>
      <c r="BA352" s="1"/>
      <c r="BB352" s="1"/>
      <c r="BC352" s="1"/>
      <c r="BD352" s="1"/>
      <c r="BE352" s="1"/>
      <c r="BF352" s="1"/>
      <c r="BG352" s="1"/>
      <c r="BH352" s="1"/>
      <c r="BI352" s="1"/>
      <c r="BJ352" s="1"/>
      <c r="BK352" s="1"/>
      <c r="BL352" s="1"/>
      <c r="BM352" s="1"/>
      <c r="BN352" s="1"/>
      <c r="BO352" s="1"/>
      <c r="BP352" s="1"/>
      <c r="BQ352" s="1"/>
      <c r="BR352" s="1"/>
      <c r="BS352" s="1"/>
      <c r="BT352" s="1"/>
      <c r="BU352" s="1"/>
      <c r="BV352" s="1"/>
      <c r="BW352" s="1"/>
      <c r="BX352" s="1"/>
      <c r="BY352" s="1"/>
      <c r="BZ352" s="1"/>
      <c r="CA352" s="1"/>
      <c r="CB352" s="1"/>
      <c r="CC352" s="1"/>
      <c r="CD352" s="1"/>
      <c r="CE352" s="1"/>
      <c r="CF352" s="1"/>
      <c r="CG352" s="1"/>
      <c r="CH352" s="1"/>
      <c r="CI352" s="1"/>
      <c r="CJ352" s="1"/>
      <c r="CK352" s="1"/>
      <c r="CL352" s="1"/>
      <c r="CM352" s="1"/>
      <c r="CN352" s="1"/>
      <c r="CO352" s="1"/>
      <c r="CP352" s="1"/>
      <c r="CQ352" s="1"/>
      <c r="CR352" s="1"/>
      <c r="CS352" s="1"/>
      <c r="CT352" s="1"/>
      <c r="CU352" s="1"/>
      <c r="CV352" s="1"/>
      <c r="CW352" s="1"/>
      <c r="CX352" s="1"/>
      <c r="CY352" s="1"/>
      <c r="CZ352" s="1"/>
      <c r="DA352" s="1"/>
      <c r="DB352" s="1"/>
      <c r="DC352" s="1"/>
      <c r="DD352" s="1"/>
      <c r="DE352" s="1"/>
      <c r="DF352" s="1"/>
      <c r="DG352" s="1"/>
      <c r="DH352" s="1"/>
      <c r="DI352" s="1"/>
      <c r="DJ352" s="1"/>
      <c r="DK352" s="1"/>
      <c r="DL352" s="1"/>
      <c r="DM352" s="1"/>
      <c r="DN352" s="1"/>
      <c r="DO352" s="1"/>
      <c r="DP352" s="1"/>
      <c r="DQ352" s="1"/>
      <c r="DR352" s="1"/>
      <c r="DS352" s="1"/>
      <c r="DT352" s="1"/>
      <c r="DU352" s="1"/>
      <c r="DV352" s="1"/>
      <c r="DW352" s="1"/>
      <c r="DX352" s="1"/>
      <c r="DY352" s="1"/>
      <c r="DZ352" s="1"/>
      <c r="EA352" s="1"/>
      <c r="EB352" s="1"/>
      <c r="EC352" s="1"/>
      <c r="ED352" s="1"/>
      <c r="EE352" s="1"/>
      <c r="EF352" s="1"/>
      <c r="EG352" s="1"/>
      <c r="EH352" s="1"/>
      <c r="EI352" s="1"/>
      <c r="EJ352" s="1"/>
      <c r="EK352" s="1"/>
      <c r="EL352" s="1"/>
      <c r="EM352" s="1"/>
      <c r="EN352" s="1"/>
      <c r="EO352" s="1"/>
      <c r="EP352" s="1"/>
      <c r="EQ352" s="1"/>
      <c r="ER352" s="1"/>
      <c r="ES352" s="1"/>
      <c r="ET352" s="1"/>
      <c r="EU352" s="1"/>
      <c r="EV352" s="1"/>
      <c r="EW352" s="1"/>
      <c r="EX352" s="1"/>
      <c r="EY352" s="1"/>
      <c r="EZ352" s="1"/>
      <c r="FA352" s="1"/>
      <c r="FB352" s="1"/>
      <c r="FC352" s="1"/>
      <c r="FD352" s="1"/>
      <c r="FE352" s="1"/>
      <c r="FF352" s="1"/>
      <c r="FG352" s="1"/>
      <c r="FH352" s="1"/>
      <c r="FI352" s="1"/>
      <c r="FJ352" s="1"/>
      <c r="FK352" s="1"/>
      <c r="FL352" s="1"/>
      <c r="FM352" s="1"/>
      <c r="FN352" s="1"/>
      <c r="FO352" s="1"/>
      <c r="FP352" s="1"/>
      <c r="FQ352" s="1"/>
      <c r="FR352" s="1"/>
      <c r="FS352" s="1"/>
      <c r="FT352" s="1"/>
      <c r="FU352" s="1"/>
      <c r="FV352" s="1"/>
      <c r="FW352" s="1"/>
      <c r="FX352" s="1"/>
      <c r="FY352" s="1"/>
      <c r="FZ352" s="1"/>
      <c r="GA352" s="1"/>
      <c r="GB352" s="1"/>
      <c r="GC352" s="1"/>
      <c r="GD352" s="1"/>
      <c r="GE352" s="1"/>
      <c r="GF352" s="1"/>
      <c r="GG352" s="1"/>
      <c r="GH352" s="1"/>
      <c r="GI352" s="1"/>
      <c r="GJ352" s="1"/>
      <c r="GK352" s="1"/>
      <c r="GL352" s="1"/>
      <c r="GM352" s="1"/>
      <c r="GN352" s="1"/>
      <c r="GO352" s="1"/>
      <c r="GP352" s="1"/>
      <c r="GQ352" s="1"/>
      <c r="GR352" s="1"/>
      <c r="GS352" s="1"/>
      <c r="GT352" s="1"/>
      <c r="GU352" s="1"/>
      <c r="GV352" s="1"/>
      <c r="GW352" s="1"/>
      <c r="GX352" s="1"/>
      <c r="GY352" s="1"/>
      <c r="GZ352" s="1"/>
      <c r="HA352" s="1"/>
      <c r="HB352" s="1"/>
      <c r="HC352" s="1"/>
      <c r="HD352" s="1"/>
      <c r="HE352" s="1"/>
      <c r="HF352" s="1"/>
      <c r="HG352" s="1"/>
      <c r="HH352" s="1"/>
      <c r="HI352" s="1"/>
      <c r="HJ352" s="1"/>
      <c r="HK352" s="1"/>
      <c r="HL352" s="1"/>
      <c r="HM352" s="1"/>
      <c r="HN352" s="1"/>
      <c r="HO352" s="1"/>
      <c r="HP352" s="1"/>
      <c r="HQ352" s="1"/>
      <c r="HR352" s="1"/>
      <c r="HS352" s="1"/>
      <c r="HT352" s="1"/>
      <c r="HU352" s="1"/>
      <c r="HV352" s="1"/>
      <c r="HW352" s="1"/>
      <c r="HX352" s="1"/>
      <c r="HY352" s="1"/>
      <c r="HZ352" s="1"/>
      <c r="IA352" s="1"/>
      <c r="IB352" s="1"/>
      <c r="IC352" s="1"/>
      <c r="ID352" s="1"/>
      <c r="IE352" s="1"/>
      <c r="IF352" s="1"/>
      <c r="IG352" s="1"/>
      <c r="IH352" s="1"/>
      <c r="II352" s="1"/>
      <c r="IJ352" s="1"/>
      <c r="IK352" s="1"/>
      <c r="IL352" s="1"/>
      <c r="IM352" s="1"/>
      <c r="IN352" s="1"/>
      <c r="IO352" s="1"/>
      <c r="IP352" s="1"/>
      <c r="IQ352" s="1"/>
      <c r="IR352" s="1"/>
      <c r="IS352" s="1"/>
      <c r="IT352" s="1"/>
      <c r="IU352" s="1"/>
      <c r="IV352" s="1"/>
    </row>
    <row r="353" spans="1:256" ht="19.5" customHeight="1" x14ac:dyDescent="0.35">
      <c r="A353" s="1403">
        <v>344</v>
      </c>
      <c r="B353" s="1417"/>
      <c r="C353" s="1417"/>
      <c r="D353" s="1556" t="s">
        <v>836</v>
      </c>
      <c r="E353" s="1838">
        <v>20</v>
      </c>
      <c r="F353" s="1"/>
      <c r="G353" s="1"/>
      <c r="H353" s="1"/>
      <c r="I353" s="1"/>
      <c r="J353" s="1"/>
      <c r="K353" s="1"/>
      <c r="L353" s="1"/>
      <c r="M353" s="1"/>
      <c r="N353" s="1"/>
      <c r="O353" s="1"/>
      <c r="P353" s="1"/>
      <c r="Q353" s="1"/>
      <c r="R353" s="1"/>
      <c r="S353" s="1"/>
      <c r="T353" s="1"/>
      <c r="U353" s="1"/>
      <c r="V353" s="1"/>
      <c r="W353" s="1"/>
      <c r="X353" s="1"/>
      <c r="Y353" s="1"/>
      <c r="Z353" s="1"/>
      <c r="AA353" s="1"/>
      <c r="AB353" s="1"/>
      <c r="AC353" s="1"/>
      <c r="AD353" s="1"/>
      <c r="AE353" s="1"/>
      <c r="AF353" s="1"/>
      <c r="AG353" s="1"/>
      <c r="AH353" s="1"/>
      <c r="AI353" s="1"/>
      <c r="AJ353" s="1"/>
      <c r="AK353" s="1"/>
      <c r="AL353" s="1"/>
      <c r="AM353" s="1"/>
      <c r="AN353" s="1"/>
      <c r="AO353" s="1"/>
      <c r="AP353" s="1"/>
      <c r="AQ353" s="1"/>
      <c r="AR353" s="1"/>
      <c r="AS353" s="1"/>
      <c r="AT353" s="1"/>
      <c r="AU353" s="1"/>
      <c r="AV353" s="1"/>
      <c r="AW353" s="1"/>
      <c r="AX353" s="1"/>
      <c r="AY353" s="1"/>
      <c r="AZ353" s="1"/>
      <c r="BA353" s="1"/>
      <c r="BB353" s="1"/>
      <c r="BC353" s="1"/>
      <c r="BD353" s="1"/>
      <c r="BE353" s="1"/>
      <c r="BF353" s="1"/>
      <c r="BG353" s="1"/>
      <c r="BH353" s="1"/>
      <c r="BI353" s="1"/>
      <c r="BJ353" s="1"/>
      <c r="BK353" s="1"/>
      <c r="BL353" s="1"/>
      <c r="BM353" s="1"/>
      <c r="BN353" s="1"/>
      <c r="BO353" s="1"/>
      <c r="BP353" s="1"/>
      <c r="BQ353" s="1"/>
      <c r="BR353" s="1"/>
      <c r="BS353" s="1"/>
      <c r="BT353" s="1"/>
      <c r="BU353" s="1"/>
      <c r="BV353" s="1"/>
      <c r="BW353" s="1"/>
      <c r="BX353" s="1"/>
      <c r="BY353" s="1"/>
      <c r="BZ353" s="1"/>
      <c r="CA353" s="1"/>
      <c r="CB353" s="1"/>
      <c r="CC353" s="1"/>
      <c r="CD353" s="1"/>
      <c r="CE353" s="1"/>
      <c r="CF353" s="1"/>
      <c r="CG353" s="1"/>
      <c r="CH353" s="1"/>
      <c r="CI353" s="1"/>
      <c r="CJ353" s="1"/>
      <c r="CK353" s="1"/>
      <c r="CL353" s="1"/>
      <c r="CM353" s="1"/>
      <c r="CN353" s="1"/>
      <c r="CO353" s="1"/>
      <c r="CP353" s="1"/>
      <c r="CQ353" s="1"/>
      <c r="CR353" s="1"/>
      <c r="CS353" s="1"/>
      <c r="CT353" s="1"/>
      <c r="CU353" s="1"/>
      <c r="CV353" s="1"/>
      <c r="CW353" s="1"/>
      <c r="CX353" s="1"/>
      <c r="CY353" s="1"/>
      <c r="CZ353" s="1"/>
      <c r="DA353" s="1"/>
      <c r="DB353" s="1"/>
      <c r="DC353" s="1"/>
      <c r="DD353" s="1"/>
      <c r="DE353" s="1"/>
      <c r="DF353" s="1"/>
      <c r="DG353" s="1"/>
      <c r="DH353" s="1"/>
      <c r="DI353" s="1"/>
      <c r="DJ353" s="1"/>
      <c r="DK353" s="1"/>
      <c r="DL353" s="1"/>
      <c r="DM353" s="1"/>
      <c r="DN353" s="1"/>
      <c r="DO353" s="1"/>
      <c r="DP353" s="1"/>
      <c r="DQ353" s="1"/>
      <c r="DR353" s="1"/>
      <c r="DS353" s="1"/>
      <c r="DT353" s="1"/>
      <c r="DU353" s="1"/>
      <c r="DV353" s="1"/>
      <c r="DW353" s="1"/>
      <c r="DX353" s="1"/>
      <c r="DY353" s="1"/>
      <c r="DZ353" s="1"/>
      <c r="EA353" s="1"/>
      <c r="EB353" s="1"/>
      <c r="EC353" s="1"/>
      <c r="ED353" s="1"/>
      <c r="EE353" s="1"/>
      <c r="EF353" s="1"/>
      <c r="EG353" s="1"/>
      <c r="EH353" s="1"/>
      <c r="EI353" s="1"/>
      <c r="EJ353" s="1"/>
      <c r="EK353" s="1"/>
      <c r="EL353" s="1"/>
      <c r="EM353" s="1"/>
      <c r="EN353" s="1"/>
      <c r="EO353" s="1"/>
      <c r="EP353" s="1"/>
      <c r="EQ353" s="1"/>
      <c r="ER353" s="1"/>
      <c r="ES353" s="1"/>
      <c r="ET353" s="1"/>
      <c r="EU353" s="1"/>
      <c r="EV353" s="1"/>
      <c r="EW353" s="1"/>
      <c r="EX353" s="1"/>
      <c r="EY353" s="1"/>
      <c r="EZ353" s="1"/>
      <c r="FA353" s="1"/>
      <c r="FB353" s="1"/>
      <c r="FC353" s="1"/>
      <c r="FD353" s="1"/>
      <c r="FE353" s="1"/>
      <c r="FF353" s="1"/>
      <c r="FG353" s="1"/>
      <c r="FH353" s="1"/>
      <c r="FI353" s="1"/>
      <c r="FJ353" s="1"/>
      <c r="FK353" s="1"/>
      <c r="FL353" s="1"/>
      <c r="FM353" s="1"/>
      <c r="FN353" s="1"/>
      <c r="FO353" s="1"/>
      <c r="FP353" s="1"/>
      <c r="FQ353" s="1"/>
      <c r="FR353" s="1"/>
      <c r="FS353" s="1"/>
      <c r="FT353" s="1"/>
      <c r="FU353" s="1"/>
      <c r="FV353" s="1"/>
      <c r="FW353" s="1"/>
      <c r="FX353" s="1"/>
      <c r="FY353" s="1"/>
      <c r="FZ353" s="1"/>
      <c r="GA353" s="1"/>
      <c r="GB353" s="1"/>
      <c r="GC353" s="1"/>
      <c r="GD353" s="1"/>
      <c r="GE353" s="1"/>
      <c r="GF353" s="1"/>
      <c r="GG353" s="1"/>
      <c r="GH353" s="1"/>
      <c r="GI353" s="1"/>
      <c r="GJ353" s="1"/>
      <c r="GK353" s="1"/>
      <c r="GL353" s="1"/>
      <c r="GM353" s="1"/>
      <c r="GN353" s="1"/>
      <c r="GO353" s="1"/>
      <c r="GP353" s="1"/>
      <c r="GQ353" s="1"/>
      <c r="GR353" s="1"/>
      <c r="GS353" s="1"/>
      <c r="GT353" s="1"/>
      <c r="GU353" s="1"/>
      <c r="GV353" s="1"/>
      <c r="GW353" s="1"/>
      <c r="GX353" s="1"/>
      <c r="GY353" s="1"/>
      <c r="GZ353" s="1"/>
      <c r="HA353" s="1"/>
      <c r="HB353" s="1"/>
      <c r="HC353" s="1"/>
      <c r="HD353" s="1"/>
      <c r="HE353" s="1"/>
      <c r="HF353" s="1"/>
      <c r="HG353" s="1"/>
      <c r="HH353" s="1"/>
      <c r="HI353" s="1"/>
      <c r="HJ353" s="1"/>
      <c r="HK353" s="1"/>
      <c r="HL353" s="1"/>
      <c r="HM353" s="1"/>
      <c r="HN353" s="1"/>
      <c r="HO353" s="1"/>
      <c r="HP353" s="1"/>
      <c r="HQ353" s="1"/>
      <c r="HR353" s="1"/>
      <c r="HS353" s="1"/>
      <c r="HT353" s="1"/>
      <c r="HU353" s="1"/>
      <c r="HV353" s="1"/>
      <c r="HW353" s="1"/>
      <c r="HX353" s="1"/>
      <c r="HY353" s="1"/>
      <c r="HZ353" s="1"/>
      <c r="IA353" s="1"/>
      <c r="IB353" s="1"/>
      <c r="IC353" s="1"/>
      <c r="ID353" s="1"/>
      <c r="IE353" s="1"/>
      <c r="IF353" s="1"/>
      <c r="IG353" s="1"/>
      <c r="IH353" s="1"/>
      <c r="II353" s="1"/>
      <c r="IJ353" s="1"/>
      <c r="IK353" s="1"/>
      <c r="IL353" s="1"/>
      <c r="IM353" s="1"/>
      <c r="IN353" s="1"/>
      <c r="IO353" s="1"/>
      <c r="IP353" s="1"/>
      <c r="IQ353" s="1"/>
      <c r="IR353" s="1"/>
      <c r="IS353" s="1"/>
      <c r="IT353" s="1"/>
      <c r="IU353" s="1"/>
      <c r="IV353" s="1"/>
    </row>
    <row r="354" spans="1:256" ht="19.5" customHeight="1" x14ac:dyDescent="0.35">
      <c r="A354" s="1403">
        <v>345</v>
      </c>
      <c r="B354" s="1417"/>
      <c r="C354" s="1417"/>
      <c r="D354" s="1596" t="s">
        <v>101</v>
      </c>
      <c r="E354" s="1838">
        <f>SUM(E352:E353)</f>
        <v>5020</v>
      </c>
      <c r="F354" s="1"/>
      <c r="G354" s="1"/>
      <c r="H354" s="1"/>
      <c r="I354" s="1"/>
      <c r="J354" s="1"/>
      <c r="K354" s="1"/>
      <c r="L354" s="1"/>
      <c r="M354" s="1"/>
      <c r="N354" s="1"/>
      <c r="O354" s="1"/>
      <c r="P354" s="1"/>
      <c r="Q354" s="1"/>
      <c r="R354" s="1"/>
      <c r="S354" s="1"/>
      <c r="T354" s="1"/>
      <c r="U354" s="1"/>
      <c r="V354" s="1"/>
      <c r="W354" s="1"/>
      <c r="X354" s="1"/>
      <c r="Y354" s="1"/>
      <c r="Z354" s="1"/>
      <c r="AA354" s="1"/>
      <c r="AB354" s="1"/>
      <c r="AC354" s="1"/>
      <c r="AD354" s="1"/>
      <c r="AE354" s="1"/>
      <c r="AF354" s="1"/>
      <c r="AG354" s="1"/>
      <c r="AH354" s="1"/>
      <c r="AI354" s="1"/>
      <c r="AJ354" s="1"/>
      <c r="AK354" s="1"/>
      <c r="AL354" s="1"/>
      <c r="AM354" s="1"/>
      <c r="AN354" s="1"/>
      <c r="AO354" s="1"/>
      <c r="AP354" s="1"/>
      <c r="AQ354" s="1"/>
      <c r="AR354" s="1"/>
      <c r="AS354" s="1"/>
      <c r="AT354" s="1"/>
      <c r="AU354" s="1"/>
      <c r="AV354" s="1"/>
      <c r="AW354" s="1"/>
      <c r="AX354" s="1"/>
      <c r="AY354" s="1"/>
      <c r="AZ354" s="1"/>
      <c r="BA354" s="1"/>
      <c r="BB354" s="1"/>
      <c r="BC354" s="1"/>
      <c r="BD354" s="1"/>
      <c r="BE354" s="1"/>
      <c r="BF354" s="1"/>
      <c r="BG354" s="1"/>
      <c r="BH354" s="1"/>
      <c r="BI354" s="1"/>
      <c r="BJ354" s="1"/>
      <c r="BK354" s="1"/>
      <c r="BL354" s="1"/>
      <c r="BM354" s="1"/>
      <c r="BN354" s="1"/>
      <c r="BO354" s="1"/>
      <c r="BP354" s="1"/>
      <c r="BQ354" s="1"/>
      <c r="BR354" s="1"/>
      <c r="BS354" s="1"/>
      <c r="BT354" s="1"/>
      <c r="BU354" s="1"/>
      <c r="BV354" s="1"/>
      <c r="BW354" s="1"/>
      <c r="BX354" s="1"/>
      <c r="BY354" s="1"/>
      <c r="BZ354" s="1"/>
      <c r="CA354" s="1"/>
      <c r="CB354" s="1"/>
      <c r="CC354" s="1"/>
      <c r="CD354" s="1"/>
      <c r="CE354" s="1"/>
      <c r="CF354" s="1"/>
      <c r="CG354" s="1"/>
      <c r="CH354" s="1"/>
      <c r="CI354" s="1"/>
      <c r="CJ354" s="1"/>
      <c r="CK354" s="1"/>
      <c r="CL354" s="1"/>
      <c r="CM354" s="1"/>
      <c r="CN354" s="1"/>
      <c r="CO354" s="1"/>
      <c r="CP354" s="1"/>
      <c r="CQ354" s="1"/>
      <c r="CR354" s="1"/>
      <c r="CS354" s="1"/>
      <c r="CT354" s="1"/>
      <c r="CU354" s="1"/>
      <c r="CV354" s="1"/>
      <c r="CW354" s="1"/>
      <c r="CX354" s="1"/>
      <c r="CY354" s="1"/>
      <c r="CZ354" s="1"/>
      <c r="DA354" s="1"/>
      <c r="DB354" s="1"/>
      <c r="DC354" s="1"/>
      <c r="DD354" s="1"/>
      <c r="DE354" s="1"/>
      <c r="DF354" s="1"/>
      <c r="DG354" s="1"/>
      <c r="DH354" s="1"/>
      <c r="DI354" s="1"/>
      <c r="DJ354" s="1"/>
      <c r="DK354" s="1"/>
      <c r="DL354" s="1"/>
      <c r="DM354" s="1"/>
      <c r="DN354" s="1"/>
      <c r="DO354" s="1"/>
      <c r="DP354" s="1"/>
      <c r="DQ354" s="1"/>
      <c r="DR354" s="1"/>
      <c r="DS354" s="1"/>
      <c r="DT354" s="1"/>
      <c r="DU354" s="1"/>
      <c r="DV354" s="1"/>
      <c r="DW354" s="1"/>
      <c r="DX354" s="1"/>
      <c r="DY354" s="1"/>
      <c r="DZ354" s="1"/>
      <c r="EA354" s="1"/>
      <c r="EB354" s="1"/>
      <c r="EC354" s="1"/>
      <c r="ED354" s="1"/>
      <c r="EE354" s="1"/>
      <c r="EF354" s="1"/>
      <c r="EG354" s="1"/>
      <c r="EH354" s="1"/>
      <c r="EI354" s="1"/>
      <c r="EJ354" s="1"/>
      <c r="EK354" s="1"/>
      <c r="EL354" s="1"/>
      <c r="EM354" s="1"/>
      <c r="EN354" s="1"/>
      <c r="EO354" s="1"/>
      <c r="EP354" s="1"/>
      <c r="EQ354" s="1"/>
      <c r="ER354" s="1"/>
      <c r="ES354" s="1"/>
      <c r="ET354" s="1"/>
      <c r="EU354" s="1"/>
      <c r="EV354" s="1"/>
      <c r="EW354" s="1"/>
      <c r="EX354" s="1"/>
      <c r="EY354" s="1"/>
      <c r="EZ354" s="1"/>
      <c r="FA354" s="1"/>
      <c r="FB354" s="1"/>
      <c r="FC354" s="1"/>
      <c r="FD354" s="1"/>
      <c r="FE354" s="1"/>
      <c r="FF354" s="1"/>
      <c r="FG354" s="1"/>
      <c r="FH354" s="1"/>
      <c r="FI354" s="1"/>
      <c r="FJ354" s="1"/>
      <c r="FK354" s="1"/>
      <c r="FL354" s="1"/>
      <c r="FM354" s="1"/>
      <c r="FN354" s="1"/>
      <c r="FO354" s="1"/>
      <c r="FP354" s="1"/>
      <c r="FQ354" s="1"/>
      <c r="FR354" s="1"/>
      <c r="FS354" s="1"/>
      <c r="FT354" s="1"/>
      <c r="FU354" s="1"/>
      <c r="FV354" s="1"/>
      <c r="FW354" s="1"/>
      <c r="FX354" s="1"/>
      <c r="FY354" s="1"/>
      <c r="FZ354" s="1"/>
      <c r="GA354" s="1"/>
      <c r="GB354" s="1"/>
      <c r="GC354" s="1"/>
      <c r="GD354" s="1"/>
      <c r="GE354" s="1"/>
      <c r="GF354" s="1"/>
      <c r="GG354" s="1"/>
      <c r="GH354" s="1"/>
      <c r="GI354" s="1"/>
      <c r="GJ354" s="1"/>
      <c r="GK354" s="1"/>
      <c r="GL354" s="1"/>
      <c r="GM354" s="1"/>
      <c r="GN354" s="1"/>
      <c r="GO354" s="1"/>
      <c r="GP354" s="1"/>
      <c r="GQ354" s="1"/>
      <c r="GR354" s="1"/>
      <c r="GS354" s="1"/>
      <c r="GT354" s="1"/>
      <c r="GU354" s="1"/>
      <c r="GV354" s="1"/>
      <c r="GW354" s="1"/>
      <c r="GX354" s="1"/>
      <c r="GY354" s="1"/>
      <c r="GZ354" s="1"/>
      <c r="HA354" s="1"/>
      <c r="HB354" s="1"/>
      <c r="HC354" s="1"/>
      <c r="HD354" s="1"/>
      <c r="HE354" s="1"/>
      <c r="HF354" s="1"/>
      <c r="HG354" s="1"/>
      <c r="HH354" s="1"/>
      <c r="HI354" s="1"/>
      <c r="HJ354" s="1"/>
      <c r="HK354" s="1"/>
      <c r="HL354" s="1"/>
      <c r="HM354" s="1"/>
      <c r="HN354" s="1"/>
      <c r="HO354" s="1"/>
      <c r="HP354" s="1"/>
      <c r="HQ354" s="1"/>
      <c r="HR354" s="1"/>
      <c r="HS354" s="1"/>
      <c r="HT354" s="1"/>
      <c r="HU354" s="1"/>
      <c r="HV354" s="1"/>
      <c r="HW354" s="1"/>
      <c r="HX354" s="1"/>
      <c r="HY354" s="1"/>
      <c r="HZ354" s="1"/>
      <c r="IA354" s="1"/>
      <c r="IB354" s="1"/>
      <c r="IC354" s="1"/>
      <c r="ID354" s="1"/>
      <c r="IE354" s="1"/>
      <c r="IF354" s="1"/>
      <c r="IG354" s="1"/>
      <c r="IH354" s="1"/>
      <c r="II354" s="1"/>
      <c r="IJ354" s="1"/>
      <c r="IK354" s="1"/>
      <c r="IL354" s="1"/>
      <c r="IM354" s="1"/>
      <c r="IN354" s="1"/>
      <c r="IO354" s="1"/>
      <c r="IP354" s="1"/>
      <c r="IQ354" s="1"/>
      <c r="IR354" s="1"/>
      <c r="IS354" s="1"/>
      <c r="IT354" s="1"/>
      <c r="IU354" s="1"/>
      <c r="IV354" s="1"/>
    </row>
    <row r="355" spans="1:256" s="64" customFormat="1" ht="18" customHeight="1" x14ac:dyDescent="0.35">
      <c r="A355" s="1403">
        <v>346</v>
      </c>
      <c r="B355" s="1597"/>
      <c r="C355" s="1597"/>
      <c r="D355" s="1598" t="s">
        <v>777</v>
      </c>
      <c r="E355" s="1418">
        <f>E354+E350</f>
        <v>-251436</v>
      </c>
      <c r="F355" s="11"/>
      <c r="G355" s="11"/>
      <c r="H355" s="974"/>
      <c r="I355" s="11"/>
      <c r="J355" s="11"/>
      <c r="K355" s="11"/>
      <c r="L355" s="11"/>
      <c r="M355" s="11"/>
      <c r="N355" s="11"/>
      <c r="O355" s="11"/>
      <c r="P355" s="11"/>
      <c r="Q355" s="11"/>
      <c r="R355" s="11"/>
      <c r="S355" s="11"/>
      <c r="T355" s="11"/>
      <c r="U355" s="11"/>
      <c r="V355" s="11"/>
      <c r="W355" s="11"/>
      <c r="X355" s="11"/>
      <c r="Y355" s="11"/>
      <c r="Z355" s="11"/>
      <c r="AA355" s="11"/>
      <c r="AB355" s="11"/>
      <c r="AC355" s="11"/>
      <c r="AD355" s="11"/>
      <c r="AE355" s="11"/>
      <c r="AF355" s="11"/>
      <c r="AG355" s="11"/>
      <c r="AH355" s="11"/>
      <c r="AI355" s="11"/>
      <c r="AJ355" s="11"/>
      <c r="AK355" s="11"/>
      <c r="AL355" s="11"/>
      <c r="AM355" s="11"/>
      <c r="AN355" s="11"/>
      <c r="AO355" s="11"/>
      <c r="AP355" s="11"/>
      <c r="AQ355" s="11"/>
      <c r="AR355" s="11"/>
      <c r="AS355" s="11"/>
      <c r="AT355" s="11"/>
      <c r="AU355" s="11"/>
      <c r="AV355" s="11"/>
      <c r="AW355" s="11"/>
      <c r="AX355" s="11"/>
      <c r="AY355" s="11"/>
      <c r="AZ355" s="11"/>
      <c r="BA355" s="11"/>
      <c r="BB355" s="11"/>
      <c r="BC355" s="11"/>
      <c r="BD355" s="11"/>
      <c r="BE355" s="11"/>
      <c r="BF355" s="11"/>
      <c r="BG355" s="11"/>
      <c r="BH355" s="11"/>
      <c r="BI355" s="11"/>
      <c r="BJ355" s="11"/>
      <c r="BK355" s="11"/>
      <c r="BL355" s="11"/>
      <c r="BM355" s="11"/>
      <c r="BN355" s="11"/>
      <c r="BO355" s="11"/>
      <c r="BP355" s="11"/>
      <c r="BQ355" s="11"/>
      <c r="BR355" s="11"/>
      <c r="BS355" s="11"/>
      <c r="BT355" s="11"/>
      <c r="BU355" s="11"/>
      <c r="BV355" s="11"/>
      <c r="BW355" s="11"/>
      <c r="BX355" s="11"/>
      <c r="BY355" s="11"/>
      <c r="BZ355" s="11"/>
      <c r="CA355" s="11"/>
      <c r="CB355" s="11"/>
      <c r="CC355" s="11"/>
      <c r="CD355" s="11"/>
      <c r="CE355" s="11"/>
      <c r="CF355" s="11"/>
      <c r="CG355" s="11"/>
      <c r="CH355" s="11"/>
      <c r="CI355" s="11"/>
      <c r="CJ355" s="11"/>
      <c r="CK355" s="11"/>
      <c r="CL355" s="11"/>
      <c r="CM355" s="11"/>
      <c r="CN355" s="11"/>
      <c r="CO355" s="11"/>
      <c r="CP355" s="11"/>
      <c r="CQ355" s="11"/>
      <c r="CR355" s="11"/>
      <c r="CS355" s="11"/>
      <c r="CT355" s="11"/>
      <c r="CU355" s="11"/>
      <c r="CV355" s="11"/>
      <c r="CW355" s="11"/>
      <c r="CX355" s="11"/>
      <c r="CY355" s="11"/>
      <c r="CZ355" s="11"/>
      <c r="DA355" s="11"/>
      <c r="DB355" s="11"/>
      <c r="DC355" s="11"/>
      <c r="DD355" s="11"/>
      <c r="DE355" s="11"/>
      <c r="DF355" s="11"/>
      <c r="DG355" s="11"/>
      <c r="DH355" s="11"/>
      <c r="DI355" s="11"/>
      <c r="DJ355" s="11"/>
      <c r="DK355" s="11"/>
      <c r="DL355" s="11"/>
      <c r="DM355" s="11"/>
      <c r="DN355" s="11"/>
      <c r="DO355" s="11"/>
      <c r="DP355" s="11"/>
      <c r="DQ355" s="11"/>
      <c r="DR355" s="11"/>
      <c r="DS355" s="11"/>
      <c r="DT355" s="11"/>
      <c r="DU355" s="11"/>
      <c r="DV355" s="11"/>
      <c r="DW355" s="11"/>
      <c r="DX355" s="11"/>
      <c r="DY355" s="11"/>
      <c r="DZ355" s="11"/>
      <c r="EA355" s="11"/>
      <c r="EB355" s="11"/>
      <c r="EC355" s="11"/>
      <c r="ED355" s="11"/>
      <c r="EE355" s="11"/>
      <c r="EF355" s="11"/>
      <c r="EG355" s="11"/>
      <c r="EH355" s="11"/>
      <c r="EI355" s="11"/>
      <c r="EJ355" s="11"/>
      <c r="EK355" s="11"/>
      <c r="EL355" s="11"/>
      <c r="EM355" s="11"/>
      <c r="EN355" s="11"/>
      <c r="EO355" s="11"/>
      <c r="EP355" s="11"/>
      <c r="EQ355" s="11"/>
      <c r="ER355" s="11"/>
      <c r="ES355" s="11"/>
      <c r="ET355" s="11"/>
      <c r="EU355" s="11"/>
      <c r="EV355" s="11"/>
      <c r="EW355" s="11"/>
      <c r="EX355" s="11"/>
      <c r="EY355" s="11"/>
      <c r="EZ355" s="11"/>
      <c r="FA355" s="11"/>
      <c r="FB355" s="11"/>
      <c r="FC355" s="11"/>
      <c r="FD355" s="11"/>
      <c r="FE355" s="11"/>
      <c r="FF355" s="11"/>
      <c r="FG355" s="11"/>
      <c r="FH355" s="11"/>
      <c r="FI355" s="11"/>
      <c r="FJ355" s="11"/>
      <c r="FK355" s="11"/>
      <c r="FL355" s="11"/>
      <c r="FM355" s="11"/>
      <c r="FN355" s="11"/>
      <c r="FO355" s="11"/>
      <c r="FP355" s="11"/>
      <c r="FQ355" s="11"/>
      <c r="FR355" s="11"/>
      <c r="FS355" s="11"/>
      <c r="FT355" s="11"/>
      <c r="FU355" s="11"/>
      <c r="FV355" s="11"/>
      <c r="FW355" s="11"/>
      <c r="FX355" s="11"/>
      <c r="FY355" s="11"/>
      <c r="FZ355" s="11"/>
      <c r="GA355" s="11"/>
      <c r="GB355" s="11"/>
      <c r="GC355" s="11"/>
      <c r="GD355" s="11"/>
      <c r="GE355" s="11"/>
      <c r="GF355" s="11"/>
      <c r="GG355" s="11"/>
      <c r="GH355" s="11"/>
      <c r="GI355" s="11"/>
      <c r="GJ355" s="11"/>
      <c r="GK355" s="11"/>
      <c r="GL355" s="11"/>
      <c r="GM355" s="11"/>
      <c r="GN355" s="11"/>
      <c r="GO355" s="11"/>
      <c r="GP355" s="11"/>
      <c r="GQ355" s="11"/>
      <c r="GR355" s="11"/>
      <c r="GS355" s="11"/>
      <c r="GT355" s="11"/>
      <c r="GU355" s="11"/>
      <c r="GV355" s="11"/>
      <c r="GW355" s="11"/>
      <c r="GX355" s="11"/>
      <c r="GY355" s="11"/>
      <c r="GZ355" s="11"/>
      <c r="HA355" s="11"/>
      <c r="HB355" s="11"/>
      <c r="HC355" s="11"/>
      <c r="HD355" s="11"/>
      <c r="HE355" s="11"/>
      <c r="HF355" s="11"/>
      <c r="HG355" s="11"/>
      <c r="HH355" s="11"/>
      <c r="HI355" s="11"/>
      <c r="HJ355" s="11"/>
      <c r="HK355" s="11"/>
      <c r="HL355" s="11"/>
      <c r="HM355" s="11"/>
      <c r="HN355" s="11"/>
      <c r="HO355" s="11"/>
      <c r="HP355" s="11"/>
      <c r="HQ355" s="11"/>
      <c r="HR355" s="11"/>
      <c r="HS355" s="11"/>
      <c r="HT355" s="11"/>
      <c r="HU355" s="11"/>
      <c r="HV355" s="11"/>
      <c r="HW355" s="11"/>
      <c r="HX355" s="11"/>
      <c r="HY355" s="11"/>
      <c r="HZ355" s="11"/>
      <c r="IA355" s="11"/>
      <c r="IB355" s="11"/>
      <c r="IC355" s="11"/>
      <c r="ID355" s="11"/>
      <c r="IE355" s="11"/>
      <c r="IF355" s="11"/>
      <c r="IG355" s="11"/>
      <c r="IH355" s="11"/>
      <c r="II355" s="11"/>
      <c r="IJ355" s="11"/>
      <c r="IK355" s="11"/>
      <c r="IL355" s="11"/>
      <c r="IM355" s="11"/>
      <c r="IN355" s="11"/>
      <c r="IO355" s="11"/>
      <c r="IP355" s="11"/>
      <c r="IQ355" s="11"/>
      <c r="IR355" s="11"/>
      <c r="IS355" s="11"/>
      <c r="IT355" s="11"/>
      <c r="IU355" s="11"/>
      <c r="IV355" s="11"/>
    </row>
    <row r="356" spans="1:256" s="64" customFormat="1" ht="21.95" customHeight="1" x14ac:dyDescent="0.35">
      <c r="A356" s="1403">
        <v>347</v>
      </c>
      <c r="B356" s="1597"/>
      <c r="C356" s="1597" t="s">
        <v>749</v>
      </c>
      <c r="D356" s="1559" t="s">
        <v>214</v>
      </c>
      <c r="E356" s="963"/>
      <c r="F356" s="11"/>
      <c r="G356" s="11"/>
      <c r="H356" s="974"/>
      <c r="I356" s="11"/>
      <c r="J356" s="11"/>
      <c r="K356" s="11"/>
      <c r="L356" s="11"/>
      <c r="M356" s="11"/>
      <c r="N356" s="11"/>
      <c r="O356" s="11"/>
      <c r="P356" s="11"/>
      <c r="Q356" s="11"/>
      <c r="R356" s="11"/>
      <c r="S356" s="11"/>
      <c r="T356" s="11"/>
      <c r="U356" s="11"/>
      <c r="V356" s="11"/>
      <c r="W356" s="11"/>
      <c r="X356" s="11"/>
      <c r="Y356" s="11"/>
      <c r="Z356" s="11"/>
      <c r="AA356" s="11"/>
      <c r="AB356" s="11"/>
      <c r="AC356" s="11"/>
      <c r="AD356" s="11"/>
      <c r="AE356" s="11"/>
      <c r="AF356" s="11"/>
      <c r="AG356" s="11"/>
      <c r="AH356" s="11"/>
      <c r="AI356" s="11"/>
      <c r="AJ356" s="11"/>
      <c r="AK356" s="11"/>
      <c r="AL356" s="11"/>
      <c r="AM356" s="11"/>
      <c r="AN356" s="11"/>
      <c r="AO356" s="11"/>
      <c r="AP356" s="11"/>
      <c r="AQ356" s="11"/>
      <c r="AR356" s="11"/>
      <c r="AS356" s="11"/>
      <c r="AT356" s="11"/>
      <c r="AU356" s="11"/>
      <c r="AV356" s="11"/>
      <c r="AW356" s="11"/>
      <c r="AX356" s="11"/>
      <c r="AY356" s="11"/>
      <c r="AZ356" s="11"/>
      <c r="BA356" s="11"/>
      <c r="BB356" s="11"/>
      <c r="BC356" s="11"/>
      <c r="BD356" s="11"/>
      <c r="BE356" s="11"/>
      <c r="BF356" s="11"/>
      <c r="BG356" s="11"/>
      <c r="BH356" s="11"/>
      <c r="BI356" s="11"/>
      <c r="BJ356" s="11"/>
      <c r="BK356" s="11"/>
      <c r="BL356" s="11"/>
      <c r="BM356" s="11"/>
      <c r="BN356" s="11"/>
      <c r="BO356" s="11"/>
      <c r="BP356" s="11"/>
      <c r="BQ356" s="11"/>
      <c r="BR356" s="11"/>
      <c r="BS356" s="11"/>
      <c r="BT356" s="11"/>
      <c r="BU356" s="11"/>
      <c r="BV356" s="11"/>
      <c r="BW356" s="11"/>
      <c r="BX356" s="11"/>
      <c r="BY356" s="11"/>
      <c r="BZ356" s="11"/>
      <c r="CA356" s="11"/>
      <c r="CB356" s="11"/>
      <c r="CC356" s="11"/>
      <c r="CD356" s="11"/>
      <c r="CE356" s="11"/>
      <c r="CF356" s="11"/>
      <c r="CG356" s="11"/>
      <c r="CH356" s="11"/>
      <c r="CI356" s="11"/>
      <c r="CJ356" s="11"/>
      <c r="CK356" s="11"/>
      <c r="CL356" s="11"/>
      <c r="CM356" s="11"/>
      <c r="CN356" s="11"/>
      <c r="CO356" s="11"/>
      <c r="CP356" s="11"/>
      <c r="CQ356" s="11"/>
      <c r="CR356" s="11"/>
      <c r="CS356" s="11"/>
      <c r="CT356" s="11"/>
      <c r="CU356" s="11"/>
      <c r="CV356" s="11"/>
      <c r="CW356" s="11"/>
      <c r="CX356" s="11"/>
      <c r="CY356" s="11"/>
      <c r="CZ356" s="11"/>
      <c r="DA356" s="11"/>
      <c r="DB356" s="11"/>
      <c r="DC356" s="11"/>
      <c r="DD356" s="11"/>
      <c r="DE356" s="11"/>
      <c r="DF356" s="11"/>
      <c r="DG356" s="11"/>
      <c r="DH356" s="11"/>
      <c r="DI356" s="11"/>
      <c r="DJ356" s="11"/>
      <c r="DK356" s="11"/>
      <c r="DL356" s="11"/>
      <c r="DM356" s="11"/>
      <c r="DN356" s="11"/>
      <c r="DO356" s="11"/>
      <c r="DP356" s="11"/>
      <c r="DQ356" s="11"/>
      <c r="DR356" s="11"/>
      <c r="DS356" s="11"/>
      <c r="DT356" s="11"/>
      <c r="DU356" s="11"/>
      <c r="DV356" s="11"/>
      <c r="DW356" s="11"/>
      <c r="DX356" s="11"/>
      <c r="DY356" s="11"/>
      <c r="DZ356" s="11"/>
      <c r="EA356" s="11"/>
      <c r="EB356" s="11"/>
      <c r="EC356" s="11"/>
      <c r="ED356" s="11"/>
      <c r="EE356" s="11"/>
      <c r="EF356" s="11"/>
      <c r="EG356" s="11"/>
      <c r="EH356" s="11"/>
      <c r="EI356" s="11"/>
      <c r="EJ356" s="11"/>
      <c r="EK356" s="11"/>
      <c r="EL356" s="11"/>
      <c r="EM356" s="11"/>
      <c r="EN356" s="11"/>
      <c r="EO356" s="11"/>
      <c r="EP356" s="11"/>
      <c r="EQ356" s="11"/>
      <c r="ER356" s="11"/>
      <c r="ES356" s="11"/>
      <c r="ET356" s="11"/>
      <c r="EU356" s="11"/>
      <c r="EV356" s="11"/>
      <c r="EW356" s="11"/>
      <c r="EX356" s="11"/>
      <c r="EY356" s="11"/>
      <c r="EZ356" s="11"/>
      <c r="FA356" s="11"/>
      <c r="FB356" s="11"/>
      <c r="FC356" s="11"/>
      <c r="FD356" s="11"/>
      <c r="FE356" s="11"/>
      <c r="FF356" s="11"/>
      <c r="FG356" s="11"/>
      <c r="FH356" s="11"/>
      <c r="FI356" s="11"/>
      <c r="FJ356" s="11"/>
      <c r="FK356" s="11"/>
      <c r="FL356" s="11"/>
      <c r="FM356" s="11"/>
      <c r="FN356" s="11"/>
      <c r="FO356" s="11"/>
      <c r="FP356" s="11"/>
      <c r="FQ356" s="11"/>
      <c r="FR356" s="11"/>
      <c r="FS356" s="11"/>
      <c r="FT356" s="11"/>
      <c r="FU356" s="11"/>
      <c r="FV356" s="11"/>
      <c r="FW356" s="11"/>
      <c r="FX356" s="11"/>
      <c r="FY356" s="11"/>
      <c r="FZ356" s="11"/>
      <c r="GA356" s="11"/>
      <c r="GB356" s="11"/>
      <c r="GC356" s="11"/>
      <c r="GD356" s="11"/>
      <c r="GE356" s="11"/>
      <c r="GF356" s="11"/>
      <c r="GG356" s="11"/>
      <c r="GH356" s="11"/>
      <c r="GI356" s="11"/>
      <c r="GJ356" s="11"/>
      <c r="GK356" s="11"/>
      <c r="GL356" s="11"/>
      <c r="GM356" s="11"/>
      <c r="GN356" s="11"/>
      <c r="GO356" s="11"/>
      <c r="GP356" s="11"/>
      <c r="GQ356" s="11"/>
      <c r="GR356" s="11"/>
      <c r="GS356" s="11"/>
      <c r="GT356" s="11"/>
      <c r="GU356" s="11"/>
      <c r="GV356" s="11"/>
      <c r="GW356" s="11"/>
      <c r="GX356" s="11"/>
      <c r="GY356" s="11"/>
      <c r="GZ356" s="11"/>
      <c r="HA356" s="11"/>
      <c r="HB356" s="11"/>
      <c r="HC356" s="11"/>
      <c r="HD356" s="11"/>
      <c r="HE356" s="11"/>
      <c r="HF356" s="11"/>
      <c r="HG356" s="11"/>
      <c r="HH356" s="11"/>
      <c r="HI356" s="11"/>
      <c r="HJ356" s="11"/>
      <c r="HK356" s="11"/>
      <c r="HL356" s="11"/>
      <c r="HM356" s="11"/>
      <c r="HN356" s="11"/>
      <c r="HO356" s="11"/>
      <c r="HP356" s="11"/>
      <c r="HQ356" s="11"/>
      <c r="HR356" s="11"/>
      <c r="HS356" s="11"/>
      <c r="HT356" s="11"/>
      <c r="HU356" s="11"/>
      <c r="HV356" s="11"/>
      <c r="HW356" s="11"/>
      <c r="HX356" s="11"/>
      <c r="HY356" s="11"/>
      <c r="HZ356" s="11"/>
      <c r="IA356" s="11"/>
      <c r="IB356" s="11"/>
      <c r="IC356" s="11"/>
      <c r="ID356" s="11"/>
      <c r="IE356" s="11"/>
      <c r="IF356" s="11"/>
      <c r="IG356" s="11"/>
      <c r="IH356" s="11"/>
      <c r="II356" s="11"/>
      <c r="IJ356" s="11"/>
      <c r="IK356" s="11"/>
      <c r="IL356" s="11"/>
      <c r="IM356" s="11"/>
      <c r="IN356" s="11"/>
      <c r="IO356" s="11"/>
      <c r="IP356" s="11"/>
      <c r="IQ356" s="11"/>
      <c r="IR356" s="11"/>
      <c r="IS356" s="11"/>
      <c r="IT356" s="11"/>
      <c r="IU356" s="11"/>
      <c r="IV356" s="11"/>
    </row>
    <row r="357" spans="1:256" s="64" customFormat="1" ht="21.95" customHeight="1" thickBot="1" x14ac:dyDescent="0.4">
      <c r="A357" s="1403">
        <v>348</v>
      </c>
      <c r="B357" s="1597"/>
      <c r="C357" s="1597"/>
      <c r="D357" s="1556" t="s">
        <v>815</v>
      </c>
      <c r="E357" s="963">
        <f>38690+39276+31578</f>
        <v>109544</v>
      </c>
      <c r="F357" s="11"/>
      <c r="G357" s="11"/>
      <c r="H357" s="974"/>
      <c r="I357" s="11"/>
      <c r="J357" s="11"/>
      <c r="K357" s="11"/>
      <c r="L357" s="11"/>
      <c r="M357" s="11"/>
      <c r="N357" s="11"/>
      <c r="O357" s="11"/>
      <c r="P357" s="11"/>
      <c r="Q357" s="11"/>
      <c r="R357" s="11"/>
      <c r="S357" s="11"/>
      <c r="T357" s="11"/>
      <c r="U357" s="11"/>
      <c r="V357" s="11"/>
      <c r="W357" s="11"/>
      <c r="X357" s="11"/>
      <c r="Y357" s="11"/>
      <c r="Z357" s="11"/>
      <c r="AA357" s="11"/>
      <c r="AB357" s="11"/>
      <c r="AC357" s="11"/>
      <c r="AD357" s="11"/>
      <c r="AE357" s="11"/>
      <c r="AF357" s="11"/>
      <c r="AG357" s="11"/>
      <c r="AH357" s="11"/>
      <c r="AI357" s="11"/>
      <c r="AJ357" s="11"/>
      <c r="AK357" s="11"/>
      <c r="AL357" s="11"/>
      <c r="AM357" s="11"/>
      <c r="AN357" s="11"/>
      <c r="AO357" s="11"/>
      <c r="AP357" s="11"/>
      <c r="AQ357" s="11"/>
      <c r="AR357" s="11"/>
      <c r="AS357" s="11"/>
      <c r="AT357" s="11"/>
      <c r="AU357" s="11"/>
      <c r="AV357" s="11"/>
      <c r="AW357" s="11"/>
      <c r="AX357" s="11"/>
      <c r="AY357" s="11"/>
      <c r="AZ357" s="11"/>
      <c r="BA357" s="11"/>
      <c r="BB357" s="11"/>
      <c r="BC357" s="11"/>
      <c r="BD357" s="11"/>
      <c r="BE357" s="11"/>
      <c r="BF357" s="11"/>
      <c r="BG357" s="11"/>
      <c r="BH357" s="11"/>
      <c r="BI357" s="11"/>
      <c r="BJ357" s="11"/>
      <c r="BK357" s="11"/>
      <c r="BL357" s="11"/>
      <c r="BM357" s="11"/>
      <c r="BN357" s="11"/>
      <c r="BO357" s="11"/>
      <c r="BP357" s="11"/>
      <c r="BQ357" s="11"/>
      <c r="BR357" s="11"/>
      <c r="BS357" s="11"/>
      <c r="BT357" s="11"/>
      <c r="BU357" s="11"/>
      <c r="BV357" s="11"/>
      <c r="BW357" s="11"/>
      <c r="BX357" s="11"/>
      <c r="BY357" s="11"/>
      <c r="BZ357" s="11"/>
      <c r="CA357" s="11"/>
      <c r="CB357" s="11"/>
      <c r="CC357" s="11"/>
      <c r="CD357" s="11"/>
      <c r="CE357" s="11"/>
      <c r="CF357" s="11"/>
      <c r="CG357" s="11"/>
      <c r="CH357" s="11"/>
      <c r="CI357" s="11"/>
      <c r="CJ357" s="11"/>
      <c r="CK357" s="11"/>
      <c r="CL357" s="11"/>
      <c r="CM357" s="11"/>
      <c r="CN357" s="11"/>
      <c r="CO357" s="11"/>
      <c r="CP357" s="11"/>
      <c r="CQ357" s="11"/>
      <c r="CR357" s="11"/>
      <c r="CS357" s="11"/>
      <c r="CT357" s="11"/>
      <c r="CU357" s="11"/>
      <c r="CV357" s="11"/>
      <c r="CW357" s="11"/>
      <c r="CX357" s="11"/>
      <c r="CY357" s="11"/>
      <c r="CZ357" s="11"/>
      <c r="DA357" s="11"/>
      <c r="DB357" s="11"/>
      <c r="DC357" s="11"/>
      <c r="DD357" s="11"/>
      <c r="DE357" s="11"/>
      <c r="DF357" s="11"/>
      <c r="DG357" s="11"/>
      <c r="DH357" s="11"/>
      <c r="DI357" s="11"/>
      <c r="DJ357" s="11"/>
      <c r="DK357" s="11"/>
      <c r="DL357" s="11"/>
      <c r="DM357" s="11"/>
      <c r="DN357" s="11"/>
      <c r="DO357" s="11"/>
      <c r="DP357" s="11"/>
      <c r="DQ357" s="11"/>
      <c r="DR357" s="11"/>
      <c r="DS357" s="11"/>
      <c r="DT357" s="11"/>
      <c r="DU357" s="11"/>
      <c r="DV357" s="11"/>
      <c r="DW357" s="11"/>
      <c r="DX357" s="11"/>
      <c r="DY357" s="11"/>
      <c r="DZ357" s="11"/>
      <c r="EA357" s="11"/>
      <c r="EB357" s="11"/>
      <c r="EC357" s="11"/>
      <c r="ED357" s="11"/>
      <c r="EE357" s="11"/>
      <c r="EF357" s="11"/>
      <c r="EG357" s="11"/>
      <c r="EH357" s="11"/>
      <c r="EI357" s="11"/>
      <c r="EJ357" s="11"/>
      <c r="EK357" s="11"/>
      <c r="EL357" s="11"/>
      <c r="EM357" s="11"/>
      <c r="EN357" s="11"/>
      <c r="EO357" s="11"/>
      <c r="EP357" s="11"/>
      <c r="EQ357" s="11"/>
      <c r="ER357" s="11"/>
      <c r="ES357" s="11"/>
      <c r="ET357" s="11"/>
      <c r="EU357" s="11"/>
      <c r="EV357" s="11"/>
      <c r="EW357" s="11"/>
      <c r="EX357" s="11"/>
      <c r="EY357" s="11"/>
      <c r="EZ357" s="11"/>
      <c r="FA357" s="11"/>
      <c r="FB357" s="11"/>
      <c r="FC357" s="11"/>
      <c r="FD357" s="11"/>
      <c r="FE357" s="11"/>
      <c r="FF357" s="11"/>
      <c r="FG357" s="11"/>
      <c r="FH357" s="11"/>
      <c r="FI357" s="11"/>
      <c r="FJ357" s="11"/>
      <c r="FK357" s="11"/>
      <c r="FL357" s="11"/>
      <c r="FM357" s="11"/>
      <c r="FN357" s="11"/>
      <c r="FO357" s="11"/>
      <c r="FP357" s="11"/>
      <c r="FQ357" s="11"/>
      <c r="FR357" s="11"/>
      <c r="FS357" s="11"/>
      <c r="FT357" s="11"/>
      <c r="FU357" s="11"/>
      <c r="FV357" s="11"/>
      <c r="FW357" s="11"/>
      <c r="FX357" s="11"/>
      <c r="FY357" s="11"/>
      <c r="FZ357" s="11"/>
      <c r="GA357" s="11"/>
      <c r="GB357" s="11"/>
      <c r="GC357" s="11"/>
      <c r="GD357" s="11"/>
      <c r="GE357" s="11"/>
      <c r="GF357" s="11"/>
      <c r="GG357" s="11"/>
      <c r="GH357" s="11"/>
      <c r="GI357" s="11"/>
      <c r="GJ357" s="11"/>
      <c r="GK357" s="11"/>
      <c r="GL357" s="11"/>
      <c r="GM357" s="11"/>
      <c r="GN357" s="11"/>
      <c r="GO357" s="11"/>
      <c r="GP357" s="11"/>
      <c r="GQ357" s="11"/>
      <c r="GR357" s="11"/>
      <c r="GS357" s="11"/>
      <c r="GT357" s="11"/>
      <c r="GU357" s="11"/>
      <c r="GV357" s="11"/>
      <c r="GW357" s="11"/>
      <c r="GX357" s="11"/>
      <c r="GY357" s="11"/>
      <c r="GZ357" s="11"/>
      <c r="HA357" s="11"/>
      <c r="HB357" s="11"/>
      <c r="HC357" s="11"/>
      <c r="HD357" s="11"/>
      <c r="HE357" s="11"/>
      <c r="HF357" s="11"/>
      <c r="HG357" s="11"/>
      <c r="HH357" s="11"/>
      <c r="HI357" s="11"/>
      <c r="HJ357" s="11"/>
      <c r="HK357" s="11"/>
      <c r="HL357" s="11"/>
      <c r="HM357" s="11"/>
      <c r="HN357" s="11"/>
      <c r="HO357" s="11"/>
      <c r="HP357" s="11"/>
      <c r="HQ357" s="11"/>
      <c r="HR357" s="11"/>
      <c r="HS357" s="11"/>
      <c r="HT357" s="11"/>
      <c r="HU357" s="11"/>
      <c r="HV357" s="11"/>
      <c r="HW357" s="11"/>
      <c r="HX357" s="11"/>
      <c r="HY357" s="11"/>
      <c r="HZ357" s="11"/>
      <c r="IA357" s="11"/>
      <c r="IB357" s="11"/>
      <c r="IC357" s="11"/>
      <c r="ID357" s="11"/>
      <c r="IE357" s="11"/>
      <c r="IF357" s="11"/>
      <c r="IG357" s="11"/>
      <c r="IH357" s="11"/>
      <c r="II357" s="11"/>
      <c r="IJ357" s="11"/>
      <c r="IK357" s="11"/>
      <c r="IL357" s="11"/>
      <c r="IM357" s="11"/>
      <c r="IN357" s="11"/>
      <c r="IO357" s="11"/>
      <c r="IP357" s="11"/>
      <c r="IQ357" s="11"/>
      <c r="IR357" s="11"/>
      <c r="IS357" s="11"/>
      <c r="IT357" s="11"/>
      <c r="IU357" s="11"/>
      <c r="IV357" s="11"/>
    </row>
    <row r="358" spans="1:256" ht="24.75" customHeight="1" thickBot="1" x14ac:dyDescent="0.35">
      <c r="A358" s="1403">
        <v>349</v>
      </c>
      <c r="B358" s="1543"/>
      <c r="C358" s="1560"/>
      <c r="D358" s="1561" t="s">
        <v>778</v>
      </c>
      <c r="E358" s="1562">
        <f>SUM(E355,E341,E173)+E222+E357</f>
        <v>4571347</v>
      </c>
      <c r="F358" s="1"/>
      <c r="G358" s="1"/>
      <c r="H358" s="1"/>
      <c r="I358" s="1"/>
      <c r="J358" s="1"/>
      <c r="K358" s="1"/>
      <c r="L358" s="1"/>
      <c r="M358" s="1"/>
      <c r="N358" s="1"/>
      <c r="O358" s="1"/>
      <c r="P358" s="1"/>
      <c r="Q358" s="1"/>
      <c r="R358" s="1"/>
      <c r="S358" s="1"/>
      <c r="T358" s="1"/>
      <c r="U358" s="1"/>
      <c r="V358" s="1"/>
      <c r="W358" s="1"/>
      <c r="X358" s="1"/>
      <c r="Y358" s="1"/>
      <c r="Z358" s="1"/>
      <c r="AA358" s="1"/>
      <c r="AB358" s="1"/>
      <c r="AC358" s="1"/>
      <c r="AD358" s="1"/>
      <c r="AE358" s="1"/>
      <c r="AF358" s="1"/>
      <c r="AG358" s="1"/>
      <c r="AH358" s="1"/>
      <c r="AI358" s="1"/>
      <c r="AJ358" s="1"/>
      <c r="AK358" s="1"/>
      <c r="AL358" s="1"/>
      <c r="AM358" s="1"/>
      <c r="AN358" s="1"/>
      <c r="AO358" s="1"/>
      <c r="AP358" s="1"/>
      <c r="AQ358" s="1"/>
      <c r="AR358" s="1"/>
      <c r="AS358" s="1"/>
      <c r="AT358" s="1"/>
      <c r="AU358" s="1"/>
      <c r="AV358" s="1"/>
      <c r="AW358" s="1"/>
      <c r="AX358" s="1"/>
      <c r="AY358" s="1"/>
      <c r="AZ358" s="1"/>
      <c r="BA358" s="1"/>
      <c r="BB358" s="1"/>
      <c r="BC358" s="1"/>
      <c r="BD358" s="1"/>
      <c r="BE358" s="1"/>
      <c r="BF358" s="1"/>
      <c r="BG358" s="1"/>
      <c r="BH358" s="1"/>
      <c r="BI358" s="1"/>
      <c r="BJ358" s="1"/>
      <c r="BK358" s="1"/>
      <c r="BL358" s="1"/>
      <c r="BM358" s="1"/>
      <c r="BN358" s="1"/>
      <c r="BO358" s="1"/>
      <c r="BP358" s="1"/>
      <c r="BQ358" s="1"/>
      <c r="BR358" s="1"/>
      <c r="BS358" s="1"/>
      <c r="BT358" s="1"/>
      <c r="BU358" s="1"/>
      <c r="BV358" s="1"/>
      <c r="BW358" s="1"/>
      <c r="BX358" s="1"/>
      <c r="BY358" s="1"/>
      <c r="BZ358" s="1"/>
      <c r="CA358" s="1"/>
      <c r="CB358" s="1"/>
      <c r="CC358" s="1"/>
      <c r="CD358" s="1"/>
      <c r="CE358" s="1"/>
      <c r="CF358" s="1"/>
      <c r="CG358" s="1"/>
      <c r="CH358" s="1"/>
      <c r="CI358" s="1"/>
      <c r="CJ358" s="1"/>
      <c r="CK358" s="1"/>
      <c r="CL358" s="1"/>
      <c r="CM358" s="1"/>
      <c r="CN358" s="1"/>
      <c r="CO358" s="1"/>
      <c r="CP358" s="1"/>
      <c r="CQ358" s="1"/>
      <c r="CR358" s="1"/>
      <c r="CS358" s="1"/>
      <c r="CT358" s="1"/>
      <c r="CU358" s="1"/>
      <c r="CV358" s="1"/>
      <c r="CW358" s="1"/>
      <c r="CX358" s="1"/>
      <c r="CY358" s="1"/>
      <c r="CZ358" s="1"/>
      <c r="DA358" s="1"/>
      <c r="DB358" s="1"/>
      <c r="DC358" s="1"/>
      <c r="DD358" s="1"/>
      <c r="DE358" s="1"/>
      <c r="DF358" s="1"/>
      <c r="DG358" s="1"/>
      <c r="DH358" s="1"/>
      <c r="DI358" s="1"/>
      <c r="DJ358" s="1"/>
      <c r="DK358" s="1"/>
      <c r="DL358" s="1"/>
      <c r="DM358" s="1"/>
      <c r="DN358" s="1"/>
      <c r="DO358" s="1"/>
      <c r="DP358" s="1"/>
      <c r="DQ358" s="1"/>
      <c r="DR358" s="1"/>
      <c r="DS358" s="1"/>
      <c r="DT358" s="1"/>
      <c r="DU358" s="1"/>
      <c r="DV358" s="1"/>
      <c r="DW358" s="1"/>
      <c r="DX358" s="1"/>
      <c r="DY358" s="1"/>
      <c r="DZ358" s="1"/>
      <c r="EA358" s="1"/>
      <c r="EB358" s="1"/>
      <c r="EC358" s="1"/>
      <c r="ED358" s="1"/>
      <c r="EE358" s="1"/>
      <c r="EF358" s="1"/>
      <c r="EG358" s="1"/>
      <c r="EH358" s="1"/>
      <c r="EI358" s="1"/>
      <c r="EJ358" s="1"/>
      <c r="EK358" s="1"/>
      <c r="EL358" s="1"/>
      <c r="EM358" s="1"/>
      <c r="EN358" s="1"/>
      <c r="EO358" s="1"/>
      <c r="EP358" s="1"/>
      <c r="EQ358" s="1"/>
      <c r="ER358" s="1"/>
      <c r="ES358" s="1"/>
      <c r="ET358" s="1"/>
      <c r="EU358" s="1"/>
      <c r="EV358" s="1"/>
      <c r="EW358" s="1"/>
      <c r="EX358" s="1"/>
      <c r="EY358" s="1"/>
      <c r="EZ358" s="1"/>
      <c r="FA358" s="1"/>
      <c r="FB358" s="1"/>
      <c r="FC358" s="1"/>
      <c r="FD358" s="1"/>
      <c r="FE358" s="1"/>
      <c r="FF358" s="1"/>
      <c r="FG358" s="1"/>
      <c r="FH358" s="1"/>
      <c r="FI358" s="1"/>
      <c r="FJ358" s="1"/>
      <c r="FK358" s="1"/>
      <c r="FL358" s="1"/>
      <c r="FM358" s="1"/>
      <c r="FN358" s="1"/>
      <c r="FO358" s="1"/>
      <c r="FP358" s="1"/>
      <c r="FQ358" s="1"/>
      <c r="FR358" s="1"/>
      <c r="FS358" s="1"/>
      <c r="FT358" s="1"/>
      <c r="FU358" s="1"/>
      <c r="FV358" s="1"/>
      <c r="FW358" s="1"/>
      <c r="FX358" s="1"/>
      <c r="FY358" s="1"/>
      <c r="FZ358" s="1"/>
      <c r="GA358" s="1"/>
      <c r="GB358" s="1"/>
      <c r="GC358" s="1"/>
      <c r="GD358" s="1"/>
      <c r="GE358" s="1"/>
      <c r="GF358" s="1"/>
      <c r="GG358" s="1"/>
      <c r="GH358" s="1"/>
      <c r="GI358" s="1"/>
      <c r="GJ358" s="1"/>
      <c r="GK358" s="1"/>
      <c r="GL358" s="1"/>
      <c r="GM358" s="1"/>
      <c r="GN358" s="1"/>
      <c r="GO358" s="1"/>
      <c r="GP358" s="1"/>
      <c r="GQ358" s="1"/>
      <c r="GR358" s="1"/>
      <c r="GS358" s="1"/>
      <c r="GT358" s="1"/>
      <c r="GU358" s="1"/>
      <c r="GV358" s="1"/>
      <c r="GW358" s="1"/>
      <c r="GX358" s="1"/>
      <c r="GY358" s="1"/>
      <c r="GZ358" s="1"/>
      <c r="HA358" s="1"/>
      <c r="HB358" s="1"/>
      <c r="HC358" s="1"/>
      <c r="HD358" s="1"/>
      <c r="HE358" s="1"/>
      <c r="HF358" s="1"/>
      <c r="HG358" s="1"/>
      <c r="HH358" s="1"/>
      <c r="HI358" s="1"/>
      <c r="HJ358" s="1"/>
      <c r="HK358" s="1"/>
      <c r="HL358" s="1"/>
      <c r="HM358" s="1"/>
      <c r="HN358" s="1"/>
      <c r="HO358" s="1"/>
      <c r="HP358" s="1"/>
      <c r="HQ358" s="1"/>
      <c r="HR358" s="1"/>
      <c r="HS358" s="1"/>
      <c r="HT358" s="1"/>
      <c r="HU358" s="1"/>
      <c r="HV358" s="1"/>
      <c r="HW358" s="1"/>
      <c r="HX358" s="1"/>
      <c r="HY358" s="1"/>
      <c r="HZ358" s="1"/>
      <c r="IA358" s="1"/>
      <c r="IB358" s="1"/>
      <c r="IC358" s="1"/>
      <c r="ID358" s="1"/>
      <c r="IE358" s="1"/>
      <c r="IF358" s="1"/>
      <c r="IG358" s="1"/>
      <c r="IH358" s="1"/>
      <c r="II358" s="1"/>
      <c r="IJ358" s="1"/>
      <c r="IK358" s="1"/>
      <c r="IL358" s="1"/>
      <c r="IM358" s="1"/>
      <c r="IN358" s="1"/>
      <c r="IO358" s="1"/>
      <c r="IP358" s="1"/>
      <c r="IQ358" s="1"/>
      <c r="IR358" s="1"/>
      <c r="IS358" s="1"/>
      <c r="IT358" s="1"/>
      <c r="IU358" s="1"/>
      <c r="IV358" s="1"/>
    </row>
    <row r="359" spans="1:256" ht="17.25" x14ac:dyDescent="0.3">
      <c r="D359" s="16"/>
    </row>
    <row r="361" spans="1:256" x14ac:dyDescent="0.3">
      <c r="D361" s="1485"/>
      <c r="E361" s="1487"/>
    </row>
    <row r="362" spans="1:256" x14ac:dyDescent="0.3">
      <c r="D362" s="1485"/>
      <c r="E362" s="1487"/>
    </row>
    <row r="363" spans="1:256" x14ac:dyDescent="0.3">
      <c r="D363" s="1485"/>
      <c r="E363" s="1487"/>
    </row>
    <row r="364" spans="1:256" x14ac:dyDescent="0.3">
      <c r="D364" s="1485"/>
      <c r="E364" s="1487"/>
    </row>
    <row r="375" spans="2:5" s="19" customFormat="1" ht="17.25" x14ac:dyDescent="0.35">
      <c r="B375" s="64"/>
      <c r="C375" s="1405"/>
      <c r="D375" s="569"/>
      <c r="E375" s="953"/>
    </row>
    <row r="376" spans="2:5" s="19" customFormat="1" ht="17.25" x14ac:dyDescent="0.35">
      <c r="B376" s="64"/>
      <c r="C376" s="1405"/>
      <c r="D376" s="1406"/>
      <c r="E376" s="953"/>
    </row>
    <row r="377" spans="2:5" s="19" customFormat="1" ht="17.25" x14ac:dyDescent="0.35">
      <c r="B377" s="64"/>
      <c r="C377" s="1405"/>
      <c r="D377" s="1406"/>
      <c r="E377" s="953"/>
    </row>
    <row r="378" spans="2:5" s="19" customFormat="1" ht="17.25" x14ac:dyDescent="0.35">
      <c r="B378" s="64"/>
      <c r="C378" s="1405"/>
      <c r="D378" s="1406"/>
      <c r="E378" s="953"/>
    </row>
    <row r="379" spans="2:5" s="19" customFormat="1" ht="17.25" x14ac:dyDescent="0.35">
      <c r="B379" s="64"/>
      <c r="C379" s="1405"/>
      <c r="D379" s="1406"/>
      <c r="E379" s="953"/>
    </row>
    <row r="380" spans="2:5" s="19" customFormat="1" ht="17.25" x14ac:dyDescent="0.35">
      <c r="C380" s="50"/>
      <c r="D380" s="1406"/>
      <c r="E380" s="2"/>
    </row>
    <row r="381" spans="2:5" s="19" customFormat="1" x14ac:dyDescent="0.3">
      <c r="C381" s="50"/>
      <c r="D381" s="569"/>
      <c r="E381" s="2"/>
    </row>
    <row r="382" spans="2:5" s="19" customFormat="1" x14ac:dyDescent="0.3">
      <c r="C382" s="50"/>
      <c r="D382" s="569"/>
      <c r="E382" s="2"/>
    </row>
    <row r="383" spans="2:5" s="19" customFormat="1" x14ac:dyDescent="0.3">
      <c r="C383" s="50"/>
      <c r="D383" s="569"/>
      <c r="E383" s="2"/>
    </row>
    <row r="384" spans="2:5" s="19" customFormat="1" x14ac:dyDescent="0.3">
      <c r="C384" s="50"/>
      <c r="D384" s="569"/>
      <c r="E384" s="2"/>
    </row>
    <row r="385" spans="1:4 16142:16384" x14ac:dyDescent="0.3">
      <c r="A385" s="19"/>
    </row>
    <row r="386" spans="1:4 16142:16384" x14ac:dyDescent="0.3">
      <c r="A386" s="19"/>
    </row>
    <row r="387" spans="1:4 16142:16384" x14ac:dyDescent="0.3">
      <c r="A387" s="19"/>
    </row>
    <row r="398" spans="1:4 16142:16384" x14ac:dyDescent="0.3">
      <c r="B398" s="63"/>
      <c r="C398" s="955"/>
    </row>
    <row r="399" spans="1:4 16142:16384" x14ac:dyDescent="0.3">
      <c r="D399" s="1404"/>
      <c r="WVV399" s="2"/>
      <c r="WVW399" s="2"/>
      <c r="WVX399" s="2"/>
      <c r="WVY399" s="2"/>
      <c r="WVZ399" s="2"/>
      <c r="WWA399" s="2"/>
      <c r="WWB399" s="2"/>
      <c r="WWC399" s="2"/>
      <c r="WWD399" s="2"/>
      <c r="WWE399" s="2"/>
      <c r="WWF399" s="2"/>
      <c r="WWG399" s="2"/>
      <c r="WWH399" s="2"/>
      <c r="WWI399" s="2"/>
      <c r="WWJ399" s="2"/>
      <c r="WWK399" s="2"/>
      <c r="WWL399" s="2"/>
      <c r="WWM399" s="2"/>
      <c r="WWN399" s="2"/>
      <c r="WWO399" s="2"/>
      <c r="WWP399" s="2"/>
      <c r="WWQ399" s="2"/>
      <c r="WWR399" s="2"/>
      <c r="WWS399" s="2"/>
      <c r="WWT399" s="2"/>
      <c r="WWU399" s="2"/>
      <c r="WWV399" s="2"/>
      <c r="WWW399" s="2"/>
      <c r="WWX399" s="2"/>
      <c r="WWY399" s="2"/>
      <c r="WWZ399" s="2"/>
      <c r="WXA399" s="2"/>
      <c r="WXB399" s="2"/>
      <c r="WXC399" s="2"/>
      <c r="WXD399" s="2"/>
      <c r="WXE399" s="2"/>
      <c r="WXF399" s="2"/>
      <c r="WXG399" s="2"/>
      <c r="WXH399" s="2"/>
      <c r="WXI399" s="2"/>
      <c r="WXJ399" s="2"/>
      <c r="WXK399" s="2"/>
      <c r="WXL399" s="2"/>
      <c r="WXM399" s="2"/>
      <c r="WXN399" s="2"/>
      <c r="WXO399" s="2"/>
      <c r="WXP399" s="2"/>
      <c r="WXQ399" s="2"/>
      <c r="WXR399" s="2"/>
      <c r="WXS399" s="2"/>
      <c r="WXT399" s="2"/>
      <c r="WXU399" s="2"/>
      <c r="WXV399" s="2"/>
      <c r="WXW399" s="2"/>
      <c r="WXX399" s="2"/>
      <c r="WXY399" s="2"/>
      <c r="WXZ399" s="2"/>
      <c r="WYA399" s="2"/>
      <c r="WYB399" s="2"/>
      <c r="WYC399" s="2"/>
      <c r="WYD399" s="2"/>
      <c r="WYE399" s="2"/>
      <c r="WYF399" s="2"/>
      <c r="WYG399" s="2"/>
      <c r="WYH399" s="2"/>
      <c r="WYI399" s="2"/>
      <c r="WYJ399" s="2"/>
      <c r="WYK399" s="2"/>
      <c r="WYL399" s="2"/>
      <c r="WYM399" s="2"/>
      <c r="WYN399" s="2"/>
      <c r="WYO399" s="2"/>
      <c r="WYP399" s="2"/>
      <c r="WYQ399" s="2"/>
      <c r="WYR399" s="2"/>
      <c r="WYS399" s="2"/>
      <c r="WYT399" s="2"/>
      <c r="WYU399" s="2"/>
      <c r="WYV399" s="2"/>
      <c r="WYW399" s="2"/>
      <c r="WYX399" s="2"/>
      <c r="WYY399" s="2"/>
      <c r="WYZ399" s="2"/>
      <c r="WZA399" s="2"/>
      <c r="WZB399" s="2"/>
      <c r="WZC399" s="2"/>
      <c r="WZD399" s="2"/>
      <c r="WZE399" s="2"/>
      <c r="WZF399" s="2"/>
      <c r="WZG399" s="2"/>
      <c r="WZH399" s="2"/>
      <c r="WZI399" s="2"/>
      <c r="WZJ399" s="2"/>
      <c r="WZK399" s="2"/>
      <c r="WZL399" s="2"/>
      <c r="WZM399" s="2"/>
      <c r="WZN399" s="2"/>
      <c r="WZO399" s="2"/>
      <c r="WZP399" s="2"/>
      <c r="WZQ399" s="2"/>
      <c r="WZR399" s="2"/>
      <c r="WZS399" s="2"/>
      <c r="WZT399" s="2"/>
      <c r="WZU399" s="2"/>
      <c r="WZV399" s="2"/>
      <c r="WZW399" s="2"/>
      <c r="WZX399" s="2"/>
      <c r="WZY399" s="2"/>
      <c r="WZZ399" s="2"/>
      <c r="XAA399" s="2"/>
      <c r="XAB399" s="2"/>
      <c r="XAC399" s="2"/>
      <c r="XAD399" s="2"/>
      <c r="XAE399" s="2"/>
      <c r="XAF399" s="2"/>
      <c r="XAG399" s="2"/>
      <c r="XAH399" s="2"/>
      <c r="XAI399" s="2"/>
      <c r="XAJ399" s="2"/>
      <c r="XAK399" s="2"/>
      <c r="XAL399" s="2"/>
      <c r="XAM399" s="2"/>
      <c r="XAN399" s="2"/>
      <c r="XAO399" s="2"/>
      <c r="XAP399" s="2"/>
      <c r="XAQ399" s="2"/>
      <c r="XAR399" s="2"/>
      <c r="XAS399" s="2"/>
      <c r="XAT399" s="2"/>
      <c r="XAU399" s="2"/>
      <c r="XAV399" s="2"/>
      <c r="XAW399" s="2"/>
      <c r="XAX399" s="2"/>
      <c r="XAY399" s="2"/>
      <c r="XAZ399" s="2"/>
      <c r="XBA399" s="2"/>
      <c r="XBB399" s="2"/>
      <c r="XBC399" s="2"/>
      <c r="XBD399" s="2"/>
      <c r="XBE399" s="2"/>
      <c r="XBF399" s="2"/>
      <c r="XBG399" s="2"/>
      <c r="XBH399" s="2"/>
      <c r="XBI399" s="2"/>
      <c r="XBJ399" s="2"/>
      <c r="XBK399" s="2"/>
      <c r="XBL399" s="2"/>
      <c r="XBM399" s="2"/>
      <c r="XBN399" s="2"/>
      <c r="XBO399" s="2"/>
      <c r="XBP399" s="2"/>
      <c r="XBQ399" s="2"/>
      <c r="XBR399" s="2"/>
      <c r="XBS399" s="2"/>
      <c r="XBT399" s="2"/>
      <c r="XBU399" s="2"/>
      <c r="XBV399" s="2"/>
      <c r="XBW399" s="2"/>
      <c r="XBX399" s="2"/>
      <c r="XBY399" s="2"/>
      <c r="XBZ399" s="2"/>
      <c r="XCA399" s="2"/>
      <c r="XCB399" s="2"/>
      <c r="XCC399" s="2"/>
      <c r="XCD399" s="2"/>
      <c r="XCE399" s="2"/>
      <c r="XCF399" s="2"/>
      <c r="XCG399" s="2"/>
      <c r="XCH399" s="2"/>
      <c r="XCI399" s="2"/>
      <c r="XCJ399" s="2"/>
      <c r="XCK399" s="2"/>
      <c r="XCL399" s="2"/>
      <c r="XCM399" s="2"/>
      <c r="XCN399" s="2"/>
      <c r="XCO399" s="2"/>
      <c r="XCP399" s="2"/>
      <c r="XCQ399" s="2"/>
      <c r="XCR399" s="2"/>
      <c r="XCS399" s="2"/>
      <c r="XCT399" s="2"/>
      <c r="XCU399" s="2"/>
      <c r="XCV399" s="2"/>
      <c r="XCW399" s="2"/>
      <c r="XCX399" s="2"/>
      <c r="XCY399" s="2"/>
      <c r="XCZ399" s="2"/>
      <c r="XDA399" s="2"/>
      <c r="XDB399" s="2"/>
      <c r="XDC399" s="2"/>
      <c r="XDD399" s="2"/>
      <c r="XDE399" s="2"/>
      <c r="XDF399" s="2"/>
      <c r="XDG399" s="2"/>
      <c r="XDH399" s="2"/>
      <c r="XDI399" s="2"/>
      <c r="XDJ399" s="2"/>
      <c r="XDK399" s="2"/>
      <c r="XDL399" s="2"/>
      <c r="XDM399" s="2"/>
      <c r="XDN399" s="2"/>
      <c r="XDO399" s="2"/>
      <c r="XDP399" s="2"/>
      <c r="XDQ399" s="2"/>
      <c r="XDR399" s="2"/>
      <c r="XDS399" s="2"/>
      <c r="XDT399" s="2"/>
      <c r="XDU399" s="2"/>
      <c r="XDV399" s="2"/>
      <c r="XDW399" s="2"/>
      <c r="XDX399" s="2"/>
      <c r="XDY399" s="2"/>
      <c r="XDZ399" s="2"/>
      <c r="XEA399" s="2"/>
      <c r="XEB399" s="2"/>
      <c r="XEC399" s="2"/>
      <c r="XED399" s="2"/>
      <c r="XEE399" s="2"/>
      <c r="XEF399" s="2"/>
      <c r="XEG399" s="2"/>
      <c r="XEH399" s="2"/>
      <c r="XEI399" s="2"/>
      <c r="XEJ399" s="2"/>
      <c r="XEK399" s="2"/>
      <c r="XEL399" s="2"/>
      <c r="XEM399" s="2"/>
      <c r="XEN399" s="2"/>
      <c r="XEO399" s="2"/>
      <c r="XEP399" s="2"/>
      <c r="XEQ399" s="2"/>
      <c r="XER399" s="2"/>
      <c r="XES399" s="2"/>
      <c r="XET399" s="2"/>
      <c r="XEU399" s="2"/>
      <c r="XEV399" s="2"/>
      <c r="XEW399" s="2"/>
      <c r="XEX399" s="2"/>
      <c r="XEY399" s="2"/>
      <c r="XEZ399" s="2"/>
      <c r="XFA399" s="2"/>
      <c r="XFB399" s="2"/>
      <c r="XFC399" s="2"/>
      <c r="XFD399" s="2"/>
    </row>
    <row r="448" spans="3:5" s="19" customFormat="1" x14ac:dyDescent="0.3">
      <c r="C448" s="50"/>
      <c r="D448" s="569"/>
      <c r="E448" s="90"/>
    </row>
    <row r="449" spans="1:5" x14ac:dyDescent="0.3">
      <c r="A449" s="19"/>
      <c r="B449" s="63"/>
      <c r="C449" s="955"/>
    </row>
    <row r="450" spans="1:5" x14ac:dyDescent="0.3">
      <c r="A450" s="19"/>
      <c r="C450" s="955"/>
      <c r="D450" s="1404"/>
      <c r="E450" s="571"/>
    </row>
    <row r="451" spans="1:5" x14ac:dyDescent="0.3">
      <c r="A451" s="19"/>
      <c r="B451" s="63"/>
      <c r="C451" s="955"/>
      <c r="D451" s="1404"/>
    </row>
    <row r="452" spans="1:5" x14ac:dyDescent="0.3">
      <c r="A452" s="19"/>
      <c r="D452" s="1404"/>
    </row>
    <row r="453" spans="1:5" ht="17.25" x14ac:dyDescent="0.35">
      <c r="A453" s="19"/>
      <c r="B453" s="64"/>
      <c r="C453" s="1405"/>
    </row>
    <row r="454" spans="1:5" ht="17.25" x14ac:dyDescent="0.35">
      <c r="A454" s="19"/>
      <c r="D454" s="1406"/>
    </row>
    <row r="455" spans="1:5" ht="17.25" x14ac:dyDescent="0.3">
      <c r="A455" s="19"/>
      <c r="C455" s="1412"/>
      <c r="D455" s="1413"/>
    </row>
    <row r="456" spans="1:5" ht="17.25" x14ac:dyDescent="0.35">
      <c r="A456" s="19"/>
      <c r="D456" s="1411"/>
    </row>
    <row r="457" spans="1:5" x14ac:dyDescent="0.3">
      <c r="A457" s="19"/>
    </row>
    <row r="501" spans="2:5" s="19" customFormat="1" x14ac:dyDescent="0.3">
      <c r="C501" s="50"/>
      <c r="D501" s="569"/>
      <c r="E501" s="90"/>
    </row>
    <row r="502" spans="2:5" s="19" customFormat="1" x14ac:dyDescent="0.3">
      <c r="B502" s="63"/>
      <c r="C502" s="955"/>
      <c r="D502" s="569"/>
      <c r="E502" s="2"/>
    </row>
    <row r="503" spans="2:5" s="19" customFormat="1" x14ac:dyDescent="0.3">
      <c r="C503" s="955"/>
      <c r="D503" s="1404"/>
      <c r="E503" s="571"/>
    </row>
    <row r="504" spans="2:5" s="19" customFormat="1" x14ac:dyDescent="0.3">
      <c r="B504" s="63"/>
      <c r="C504" s="955"/>
      <c r="D504" s="1404"/>
      <c r="E504" s="2"/>
    </row>
    <row r="505" spans="2:5" s="19" customFormat="1" x14ac:dyDescent="0.3">
      <c r="C505" s="50"/>
      <c r="D505" s="1404"/>
      <c r="E505" s="2"/>
    </row>
    <row r="506" spans="2:5" s="19" customFormat="1" x14ac:dyDescent="0.3">
      <c r="C506" s="50"/>
      <c r="D506" s="569"/>
      <c r="E506" s="2"/>
    </row>
    <row r="521" spans="1:256" s="569" customFormat="1" x14ac:dyDescent="0.3">
      <c r="A521" s="1403"/>
      <c r="B521" s="19"/>
      <c r="C521" s="50"/>
      <c r="E521" s="2"/>
      <c r="F521" s="19"/>
      <c r="G521" s="19"/>
      <c r="H521" s="19"/>
      <c r="I521" s="19"/>
      <c r="J521" s="19"/>
      <c r="K521" s="19"/>
      <c r="L521" s="19"/>
      <c r="M521" s="19"/>
      <c r="N521" s="19"/>
      <c r="O521" s="19"/>
      <c r="P521" s="19"/>
      <c r="Q521" s="19"/>
      <c r="R521" s="19"/>
      <c r="S521" s="19"/>
      <c r="T521" s="19"/>
      <c r="U521" s="19"/>
      <c r="V521" s="19"/>
      <c r="W521" s="19"/>
      <c r="X521" s="19"/>
      <c r="Y521" s="19"/>
      <c r="Z521" s="19"/>
      <c r="AA521" s="19"/>
      <c r="AB521" s="19"/>
      <c r="AC521" s="19"/>
      <c r="AD521" s="19"/>
      <c r="AE521" s="19"/>
      <c r="AF521" s="19"/>
      <c r="AG521" s="19"/>
      <c r="AH521" s="19"/>
      <c r="AI521" s="19"/>
      <c r="AJ521" s="19"/>
      <c r="AK521" s="19"/>
      <c r="AL521" s="19"/>
      <c r="AM521" s="19"/>
      <c r="AN521" s="19"/>
      <c r="AO521" s="19"/>
      <c r="AP521" s="19"/>
      <c r="AQ521" s="19"/>
      <c r="AR521" s="19"/>
      <c r="AS521" s="19"/>
      <c r="AT521" s="19"/>
      <c r="AU521" s="19"/>
      <c r="AV521" s="19"/>
      <c r="AW521" s="19"/>
      <c r="AX521" s="19"/>
      <c r="AY521" s="19"/>
      <c r="AZ521" s="19"/>
      <c r="BA521" s="19"/>
      <c r="BB521" s="19"/>
      <c r="BC521" s="19"/>
      <c r="BD521" s="19"/>
      <c r="BE521" s="19"/>
      <c r="BF521" s="19"/>
      <c r="BG521" s="19"/>
      <c r="BH521" s="19"/>
      <c r="BI521" s="19"/>
      <c r="BJ521" s="19"/>
      <c r="BK521" s="19"/>
      <c r="BL521" s="19"/>
      <c r="BM521" s="19"/>
      <c r="BN521" s="19"/>
      <c r="BO521" s="19"/>
      <c r="BP521" s="19"/>
      <c r="BQ521" s="19"/>
      <c r="BR521" s="19"/>
      <c r="BS521" s="19"/>
      <c r="BT521" s="19"/>
      <c r="BU521" s="19"/>
      <c r="BV521" s="19"/>
      <c r="BW521" s="19"/>
      <c r="BX521" s="19"/>
      <c r="BY521" s="19"/>
      <c r="BZ521" s="19"/>
      <c r="CA521" s="19"/>
      <c r="CB521" s="19"/>
      <c r="CC521" s="19"/>
      <c r="CD521" s="19"/>
      <c r="CE521" s="19"/>
      <c r="CF521" s="19"/>
      <c r="CG521" s="19"/>
      <c r="CH521" s="19"/>
      <c r="CI521" s="19"/>
      <c r="CJ521" s="19"/>
      <c r="CK521" s="19"/>
      <c r="CL521" s="19"/>
      <c r="CM521" s="19"/>
      <c r="CN521" s="19"/>
      <c r="CO521" s="19"/>
      <c r="CP521" s="19"/>
      <c r="CQ521" s="19"/>
      <c r="CR521" s="19"/>
      <c r="CS521" s="19"/>
      <c r="CT521" s="19"/>
      <c r="CU521" s="19"/>
      <c r="CV521" s="19"/>
      <c r="CW521" s="19"/>
      <c r="CX521" s="19"/>
      <c r="CY521" s="19"/>
      <c r="CZ521" s="19"/>
      <c r="DA521" s="19"/>
      <c r="DB521" s="19"/>
      <c r="DC521" s="19"/>
      <c r="DD521" s="19"/>
      <c r="DE521" s="19"/>
      <c r="DF521" s="19"/>
      <c r="DG521" s="19"/>
      <c r="DH521" s="19"/>
      <c r="DI521" s="19"/>
      <c r="DJ521" s="19"/>
      <c r="DK521" s="19"/>
      <c r="DL521" s="19"/>
      <c r="DM521" s="19"/>
      <c r="DN521" s="19"/>
      <c r="DO521" s="19"/>
      <c r="DP521" s="19"/>
      <c r="DQ521" s="19"/>
      <c r="DR521" s="19"/>
      <c r="DS521" s="19"/>
      <c r="DT521" s="19"/>
      <c r="DU521" s="19"/>
      <c r="DV521" s="19"/>
      <c r="DW521" s="19"/>
      <c r="DX521" s="19"/>
      <c r="DY521" s="19"/>
      <c r="DZ521" s="19"/>
      <c r="EA521" s="19"/>
      <c r="EB521" s="19"/>
      <c r="EC521" s="19"/>
      <c r="ED521" s="19"/>
      <c r="EE521" s="19"/>
      <c r="EF521" s="19"/>
      <c r="EG521" s="19"/>
      <c r="EH521" s="19"/>
      <c r="EI521" s="19"/>
      <c r="EJ521" s="19"/>
      <c r="EK521" s="19"/>
      <c r="EL521" s="19"/>
      <c r="EM521" s="19"/>
      <c r="EN521" s="19"/>
      <c r="EO521" s="19"/>
      <c r="EP521" s="19"/>
      <c r="EQ521" s="19"/>
      <c r="ER521" s="19"/>
      <c r="ES521" s="19"/>
      <c r="ET521" s="19"/>
      <c r="EU521" s="19"/>
      <c r="EV521" s="19"/>
      <c r="EW521" s="19"/>
      <c r="EX521" s="19"/>
      <c r="EY521" s="19"/>
      <c r="EZ521" s="19"/>
      <c r="FA521" s="19"/>
      <c r="FB521" s="19"/>
      <c r="FC521" s="19"/>
      <c r="FD521" s="19"/>
      <c r="FE521" s="19"/>
      <c r="FF521" s="19"/>
      <c r="FG521" s="19"/>
      <c r="FH521" s="19"/>
      <c r="FI521" s="19"/>
      <c r="FJ521" s="19"/>
      <c r="FK521" s="19"/>
      <c r="FL521" s="19"/>
      <c r="FM521" s="19"/>
      <c r="FN521" s="19"/>
      <c r="FO521" s="19"/>
      <c r="FP521" s="19"/>
      <c r="FQ521" s="19"/>
      <c r="FR521" s="19"/>
      <c r="FS521" s="19"/>
      <c r="FT521" s="19"/>
      <c r="FU521" s="19"/>
      <c r="FV521" s="19"/>
      <c r="FW521" s="19"/>
      <c r="FX521" s="19"/>
      <c r="FY521" s="19"/>
      <c r="FZ521" s="19"/>
      <c r="GA521" s="19"/>
      <c r="GB521" s="19"/>
      <c r="GC521" s="19"/>
      <c r="GD521" s="19"/>
      <c r="GE521" s="19"/>
      <c r="GF521" s="19"/>
      <c r="GG521" s="19"/>
      <c r="GH521" s="19"/>
      <c r="GI521" s="19"/>
      <c r="GJ521" s="19"/>
      <c r="GK521" s="19"/>
      <c r="GL521" s="19"/>
      <c r="GM521" s="19"/>
      <c r="GN521" s="19"/>
      <c r="GO521" s="19"/>
      <c r="GP521" s="19"/>
      <c r="GQ521" s="19"/>
      <c r="GR521" s="19"/>
      <c r="GS521" s="19"/>
      <c r="GT521" s="19"/>
      <c r="GU521" s="19"/>
      <c r="GV521" s="19"/>
      <c r="GW521" s="19"/>
      <c r="GX521" s="19"/>
      <c r="GY521" s="19"/>
      <c r="GZ521" s="19"/>
      <c r="HA521" s="19"/>
      <c r="HB521" s="19"/>
      <c r="HC521" s="19"/>
      <c r="HD521" s="19"/>
      <c r="HE521" s="19"/>
      <c r="HF521" s="19"/>
      <c r="HG521" s="19"/>
      <c r="HH521" s="19"/>
      <c r="HI521" s="19"/>
      <c r="HJ521" s="19"/>
      <c r="HK521" s="19"/>
      <c r="HL521" s="19"/>
      <c r="HM521" s="19"/>
      <c r="HN521" s="19"/>
      <c r="HO521" s="19"/>
      <c r="HP521" s="19"/>
      <c r="HQ521" s="19"/>
      <c r="HR521" s="19"/>
      <c r="HS521" s="19"/>
      <c r="HT521" s="19"/>
      <c r="HU521" s="19"/>
      <c r="HV521" s="19"/>
      <c r="HW521" s="19"/>
      <c r="HX521" s="19"/>
      <c r="HY521" s="19"/>
      <c r="HZ521" s="19"/>
      <c r="IA521" s="19"/>
      <c r="IB521" s="19"/>
      <c r="IC521" s="19"/>
      <c r="ID521" s="19"/>
      <c r="IE521" s="19"/>
      <c r="IF521" s="19"/>
      <c r="IG521" s="19"/>
      <c r="IH521" s="19"/>
      <c r="II521" s="19"/>
      <c r="IJ521" s="19"/>
      <c r="IK521" s="19"/>
      <c r="IL521" s="19"/>
      <c r="IM521" s="19"/>
      <c r="IN521" s="19"/>
      <c r="IO521" s="19"/>
      <c r="IP521" s="19"/>
      <c r="IQ521" s="19"/>
      <c r="IR521" s="19"/>
      <c r="IS521" s="19"/>
      <c r="IT521" s="19"/>
      <c r="IU521" s="19"/>
      <c r="IV521" s="19"/>
    </row>
    <row r="542" spans="3:5" s="19" customFormat="1" x14ac:dyDescent="0.3">
      <c r="C542" s="50"/>
      <c r="D542" s="569"/>
      <c r="E542" s="2"/>
    </row>
    <row r="543" spans="3:5" s="19" customFormat="1" ht="17.25" x14ac:dyDescent="0.35">
      <c r="C543" s="1412"/>
      <c r="D543" s="569"/>
      <c r="E543" s="1408"/>
    </row>
    <row r="544" spans="3:5" s="19" customFormat="1" ht="17.25" x14ac:dyDescent="0.35">
      <c r="C544" s="1412"/>
      <c r="D544" s="1411"/>
      <c r="E544" s="1408"/>
    </row>
    <row r="545" spans="2:5" s="19" customFormat="1" ht="17.25" x14ac:dyDescent="0.35">
      <c r="C545" s="50"/>
      <c r="D545" s="1411"/>
      <c r="E545" s="2"/>
    </row>
    <row r="546" spans="2:5" s="19" customFormat="1" ht="17.25" x14ac:dyDescent="0.3">
      <c r="C546" s="1412"/>
      <c r="D546" s="569"/>
      <c r="E546" s="2"/>
    </row>
    <row r="547" spans="2:5" s="19" customFormat="1" ht="17.25" x14ac:dyDescent="0.35">
      <c r="C547" s="50"/>
      <c r="D547" s="1411"/>
      <c r="E547" s="2"/>
    </row>
    <row r="548" spans="2:5" s="19" customFormat="1" x14ac:dyDescent="0.3">
      <c r="C548" s="50"/>
      <c r="D548" s="569"/>
      <c r="E548" s="2"/>
    </row>
    <row r="549" spans="2:5" s="19" customFormat="1" x14ac:dyDescent="0.3">
      <c r="C549" s="50"/>
      <c r="D549" s="569"/>
      <c r="E549" s="2"/>
    </row>
    <row r="550" spans="2:5" s="19" customFormat="1" x14ac:dyDescent="0.3">
      <c r="C550" s="50"/>
      <c r="D550" s="569"/>
      <c r="E550" s="2"/>
    </row>
    <row r="551" spans="2:5" s="19" customFormat="1" x14ac:dyDescent="0.3">
      <c r="C551" s="50"/>
      <c r="D551" s="569"/>
      <c r="E551" s="2"/>
    </row>
    <row r="552" spans="2:5" s="19" customFormat="1" ht="17.25" x14ac:dyDescent="0.35">
      <c r="C552" s="1412"/>
      <c r="D552" s="569"/>
      <c r="E552" s="1408"/>
    </row>
    <row r="553" spans="2:5" s="19" customFormat="1" ht="17.25" x14ac:dyDescent="0.35">
      <c r="C553" s="50"/>
      <c r="D553" s="1411"/>
      <c r="E553" s="2"/>
    </row>
    <row r="554" spans="2:5" s="19" customFormat="1" x14ac:dyDescent="0.3">
      <c r="C554" s="50"/>
      <c r="D554" s="569"/>
      <c r="E554" s="2"/>
    </row>
    <row r="555" spans="2:5" s="19" customFormat="1" x14ac:dyDescent="0.3">
      <c r="C555" s="50"/>
      <c r="D555" s="569"/>
      <c r="E555" s="90"/>
    </row>
    <row r="556" spans="2:5" s="19" customFormat="1" x14ac:dyDescent="0.3">
      <c r="B556" s="63"/>
      <c r="C556" s="955"/>
      <c r="D556" s="569"/>
      <c r="E556" s="2"/>
    </row>
    <row r="557" spans="2:5" s="19" customFormat="1" x14ac:dyDescent="0.3">
      <c r="C557" s="955"/>
      <c r="D557" s="1404"/>
      <c r="E557" s="571"/>
    </row>
    <row r="558" spans="2:5" s="19" customFormat="1" x14ac:dyDescent="0.3">
      <c r="B558" s="63"/>
      <c r="C558" s="955"/>
      <c r="D558" s="1404"/>
      <c r="E558" s="2"/>
    </row>
    <row r="559" spans="2:5" s="19" customFormat="1" x14ac:dyDescent="0.3">
      <c r="C559" s="50"/>
      <c r="D559" s="1404"/>
      <c r="E559" s="2"/>
    </row>
    <row r="560" spans="2:5" s="19" customFormat="1" ht="17.25" x14ac:dyDescent="0.3">
      <c r="C560" s="1412"/>
      <c r="D560" s="569"/>
      <c r="E560" s="2"/>
    </row>
    <row r="561" spans="3:5" s="19" customFormat="1" ht="17.25" x14ac:dyDescent="0.35">
      <c r="C561" s="50"/>
      <c r="D561" s="1411"/>
      <c r="E561" s="2"/>
    </row>
    <row r="562" spans="3:5" s="19" customFormat="1" x14ac:dyDescent="0.3">
      <c r="C562" s="50"/>
      <c r="D562" s="569"/>
      <c r="E562" s="2"/>
    </row>
    <row r="563" spans="3:5" s="19" customFormat="1" x14ac:dyDescent="0.3">
      <c r="C563" s="50"/>
      <c r="D563" s="569"/>
      <c r="E563" s="2"/>
    </row>
    <row r="564" spans="3:5" s="19" customFormat="1" x14ac:dyDescent="0.3">
      <c r="C564" s="50"/>
      <c r="D564" s="569"/>
      <c r="E564" s="2"/>
    </row>
    <row r="565" spans="3:5" s="19" customFormat="1" ht="17.25" x14ac:dyDescent="0.35">
      <c r="C565" s="1412"/>
      <c r="D565" s="569"/>
      <c r="E565" s="1408"/>
    </row>
    <row r="566" spans="3:5" s="19" customFormat="1" ht="17.25" x14ac:dyDescent="0.35">
      <c r="C566" s="50"/>
      <c r="D566" s="1411"/>
      <c r="E566" s="2"/>
    </row>
    <row r="567" spans="3:5" s="19" customFormat="1" ht="17.25" x14ac:dyDescent="0.3">
      <c r="C567" s="1412"/>
      <c r="D567" s="569"/>
      <c r="E567" s="2"/>
    </row>
    <row r="568" spans="3:5" s="19" customFormat="1" ht="17.25" x14ac:dyDescent="0.35">
      <c r="C568" s="50"/>
      <c r="D568" s="1411"/>
      <c r="E568" s="2"/>
    </row>
    <row r="569" spans="3:5" s="19" customFormat="1" x14ac:dyDescent="0.3">
      <c r="C569" s="50"/>
      <c r="D569" s="569"/>
      <c r="E569" s="2"/>
    </row>
    <row r="570" spans="3:5" s="19" customFormat="1" x14ac:dyDescent="0.3">
      <c r="C570" s="50"/>
      <c r="D570" s="569"/>
      <c r="E570" s="2"/>
    </row>
    <row r="571" spans="3:5" s="19" customFormat="1" x14ac:dyDescent="0.3">
      <c r="C571" s="50"/>
      <c r="D571" s="569"/>
      <c r="E571" s="2"/>
    </row>
    <row r="572" spans="3:5" s="19" customFormat="1" x14ac:dyDescent="0.3">
      <c r="C572" s="50"/>
      <c r="D572" s="569"/>
      <c r="E572" s="2"/>
    </row>
    <row r="573" spans="3:5" s="19" customFormat="1" x14ac:dyDescent="0.3">
      <c r="C573" s="50"/>
      <c r="D573" s="569"/>
      <c r="E573" s="2"/>
    </row>
    <row r="574" spans="3:5" s="19" customFormat="1" x14ac:dyDescent="0.3">
      <c r="C574" s="50"/>
      <c r="D574" s="569"/>
      <c r="E574" s="2"/>
    </row>
    <row r="575" spans="3:5" s="19" customFormat="1" x14ac:dyDescent="0.3">
      <c r="C575" s="50"/>
      <c r="D575" s="569"/>
      <c r="E575" s="2"/>
    </row>
    <row r="576" spans="3:5" s="19" customFormat="1" x14ac:dyDescent="0.3">
      <c r="C576" s="50"/>
      <c r="D576" s="569"/>
      <c r="E576" s="2"/>
    </row>
    <row r="577" spans="3:5" s="19" customFormat="1" x14ac:dyDescent="0.3">
      <c r="C577" s="50"/>
      <c r="D577" s="569"/>
      <c r="E577" s="2"/>
    </row>
    <row r="578" spans="3:5" s="19" customFormat="1" x14ac:dyDescent="0.3">
      <c r="C578" s="50"/>
      <c r="D578" s="569"/>
      <c r="E578" s="2"/>
    </row>
    <row r="579" spans="3:5" s="19" customFormat="1" x14ac:dyDescent="0.3">
      <c r="C579" s="50"/>
      <c r="D579" s="569"/>
      <c r="E579" s="2"/>
    </row>
    <row r="580" spans="3:5" s="19" customFormat="1" x14ac:dyDescent="0.3">
      <c r="C580" s="50"/>
      <c r="D580" s="569"/>
      <c r="E580" s="2"/>
    </row>
    <row r="581" spans="3:5" s="19" customFormat="1" x14ac:dyDescent="0.3">
      <c r="C581" s="50"/>
      <c r="D581" s="569"/>
      <c r="E581" s="2"/>
    </row>
    <row r="582" spans="3:5" s="19" customFormat="1" ht="17.25" x14ac:dyDescent="0.35">
      <c r="C582" s="1412"/>
      <c r="D582" s="569"/>
      <c r="E582" s="1408"/>
    </row>
    <row r="583" spans="3:5" s="19" customFormat="1" ht="17.25" x14ac:dyDescent="0.35">
      <c r="C583" s="50"/>
      <c r="D583" s="1411"/>
      <c r="E583" s="2"/>
    </row>
    <row r="584" spans="3:5" s="19" customFormat="1" ht="17.25" x14ac:dyDescent="0.3">
      <c r="C584" s="1412"/>
      <c r="D584" s="569"/>
      <c r="E584" s="2"/>
    </row>
    <row r="585" spans="3:5" s="19" customFormat="1" ht="17.25" x14ac:dyDescent="0.35">
      <c r="C585" s="50"/>
      <c r="D585" s="1411"/>
      <c r="E585" s="2"/>
    </row>
    <row r="586" spans="3:5" s="19" customFormat="1" x14ac:dyDescent="0.3">
      <c r="C586" s="50"/>
      <c r="D586" s="569"/>
      <c r="E586" s="2"/>
    </row>
    <row r="587" spans="3:5" s="19" customFormat="1" x14ac:dyDescent="0.3">
      <c r="C587" s="50"/>
      <c r="D587" s="569"/>
      <c r="E587" s="2"/>
    </row>
    <row r="588" spans="3:5" s="19" customFormat="1" x14ac:dyDescent="0.3">
      <c r="C588" s="50"/>
      <c r="D588" s="569"/>
      <c r="E588" s="2"/>
    </row>
    <row r="589" spans="3:5" s="19" customFormat="1" x14ac:dyDescent="0.3">
      <c r="C589" s="50"/>
      <c r="D589" s="569"/>
      <c r="E589" s="2"/>
    </row>
    <row r="590" spans="3:5" s="19" customFormat="1" x14ac:dyDescent="0.3">
      <c r="C590" s="50"/>
      <c r="D590" s="569"/>
      <c r="E590" s="2"/>
    </row>
    <row r="591" spans="3:5" s="19" customFormat="1" x14ac:dyDescent="0.3">
      <c r="C591" s="50"/>
      <c r="D591" s="569"/>
      <c r="E591" s="2"/>
    </row>
    <row r="592" spans="3:5" s="19" customFormat="1" x14ac:dyDescent="0.3">
      <c r="C592" s="50"/>
      <c r="D592" s="569"/>
      <c r="E592" s="2"/>
    </row>
    <row r="593" spans="3:5" s="19" customFormat="1" x14ac:dyDescent="0.3">
      <c r="C593" s="50"/>
      <c r="D593" s="569"/>
      <c r="E593" s="2"/>
    </row>
    <row r="594" spans="3:5" s="19" customFormat="1" x14ac:dyDescent="0.3">
      <c r="C594" s="50"/>
      <c r="D594" s="569"/>
      <c r="E594" s="2"/>
    </row>
    <row r="595" spans="3:5" s="19" customFormat="1" x14ac:dyDescent="0.3">
      <c r="C595" s="50"/>
      <c r="D595" s="569"/>
      <c r="E595" s="2"/>
    </row>
    <row r="596" spans="3:5" s="19" customFormat="1" x14ac:dyDescent="0.3">
      <c r="C596" s="50"/>
      <c r="D596" s="569"/>
      <c r="E596" s="2"/>
    </row>
    <row r="597" spans="3:5" s="19" customFormat="1" x14ac:dyDescent="0.3">
      <c r="C597" s="50"/>
      <c r="D597" s="569"/>
      <c r="E597" s="2"/>
    </row>
    <row r="598" spans="3:5" s="19" customFormat="1" x14ac:dyDescent="0.3">
      <c r="C598" s="50"/>
      <c r="D598" s="569"/>
      <c r="E598" s="2"/>
    </row>
    <row r="599" spans="3:5" s="19" customFormat="1" x14ac:dyDescent="0.3">
      <c r="C599" s="50"/>
      <c r="D599" s="569"/>
      <c r="E599" s="2"/>
    </row>
    <row r="600" spans="3:5" s="19" customFormat="1" x14ac:dyDescent="0.3">
      <c r="C600" s="50"/>
      <c r="D600" s="569"/>
      <c r="E600" s="2"/>
    </row>
    <row r="601" spans="3:5" s="19" customFormat="1" x14ac:dyDescent="0.3">
      <c r="C601" s="50"/>
      <c r="D601" s="569"/>
      <c r="E601" s="2"/>
    </row>
    <row r="602" spans="3:5" s="19" customFormat="1" x14ac:dyDescent="0.3">
      <c r="C602" s="50"/>
      <c r="D602" s="569"/>
      <c r="E602" s="2"/>
    </row>
    <row r="603" spans="3:5" s="19" customFormat="1" x14ac:dyDescent="0.3">
      <c r="C603" s="50"/>
      <c r="D603" s="569"/>
      <c r="E603" s="2"/>
    </row>
    <row r="604" spans="3:5" s="19" customFormat="1" x14ac:dyDescent="0.3">
      <c r="C604" s="50"/>
      <c r="D604" s="569"/>
      <c r="E604" s="2"/>
    </row>
    <row r="605" spans="3:5" s="19" customFormat="1" x14ac:dyDescent="0.3">
      <c r="C605" s="50"/>
      <c r="D605" s="569"/>
      <c r="E605" s="2"/>
    </row>
    <row r="606" spans="3:5" s="19" customFormat="1" x14ac:dyDescent="0.3">
      <c r="C606" s="50"/>
      <c r="D606" s="569"/>
      <c r="E606" s="2"/>
    </row>
    <row r="607" spans="3:5" s="19" customFormat="1" x14ac:dyDescent="0.3">
      <c r="C607" s="50"/>
      <c r="D607" s="569"/>
      <c r="E607" s="2"/>
    </row>
    <row r="608" spans="3:5" s="19" customFormat="1" x14ac:dyDescent="0.3">
      <c r="C608" s="50"/>
      <c r="D608" s="569"/>
      <c r="E608" s="2"/>
    </row>
    <row r="609" spans="3:5" s="19" customFormat="1" x14ac:dyDescent="0.3">
      <c r="C609" s="50"/>
      <c r="D609" s="569"/>
      <c r="E609" s="2"/>
    </row>
    <row r="610" spans="3:5" s="19" customFormat="1" x14ac:dyDescent="0.3">
      <c r="C610" s="50"/>
      <c r="D610" s="569"/>
      <c r="E610" s="2"/>
    </row>
    <row r="611" spans="3:5" s="19" customFormat="1" x14ac:dyDescent="0.3">
      <c r="C611" s="50"/>
      <c r="D611" s="569"/>
      <c r="E611" s="2"/>
    </row>
    <row r="612" spans="3:5" s="19" customFormat="1" x14ac:dyDescent="0.3">
      <c r="C612" s="50"/>
      <c r="D612" s="569"/>
      <c r="E612" s="2"/>
    </row>
    <row r="613" spans="3:5" s="19" customFormat="1" x14ac:dyDescent="0.3">
      <c r="C613" s="50"/>
      <c r="D613" s="569"/>
      <c r="E613" s="2"/>
    </row>
    <row r="614" spans="3:5" s="19" customFormat="1" x14ac:dyDescent="0.3">
      <c r="C614" s="50"/>
      <c r="D614" s="569"/>
      <c r="E614" s="1419"/>
    </row>
    <row r="615" spans="3:5" s="19" customFormat="1" ht="17.25" x14ac:dyDescent="0.35">
      <c r="C615" s="1412"/>
      <c r="D615" s="569"/>
      <c r="E615" s="1408"/>
    </row>
    <row r="616" spans="3:5" s="19" customFormat="1" ht="17.25" x14ac:dyDescent="0.35">
      <c r="C616" s="50"/>
      <c r="D616" s="1411"/>
      <c r="E616" s="2"/>
    </row>
    <row r="617" spans="3:5" s="19" customFormat="1" ht="17.25" x14ac:dyDescent="0.3">
      <c r="C617" s="1412"/>
      <c r="D617" s="569"/>
      <c r="E617" s="2"/>
    </row>
    <row r="618" spans="3:5" s="19" customFormat="1" ht="17.25" x14ac:dyDescent="0.35">
      <c r="C618" s="50"/>
      <c r="D618" s="1411"/>
      <c r="E618" s="2"/>
    </row>
    <row r="619" spans="3:5" s="19" customFormat="1" x14ac:dyDescent="0.3">
      <c r="C619" s="50"/>
      <c r="D619" s="1413"/>
      <c r="E619" s="2"/>
    </row>
    <row r="620" spans="3:5" s="19" customFormat="1" x14ac:dyDescent="0.3">
      <c r="C620" s="50"/>
      <c r="D620" s="569"/>
      <c r="E620" s="2"/>
    </row>
    <row r="621" spans="3:5" s="19" customFormat="1" x14ac:dyDescent="0.3">
      <c r="C621" s="50"/>
      <c r="D621" s="569"/>
      <c r="E621" s="2"/>
    </row>
    <row r="622" spans="3:5" s="19" customFormat="1" x14ac:dyDescent="0.3">
      <c r="C622" s="50"/>
      <c r="D622" s="569"/>
      <c r="E622" s="2"/>
    </row>
    <row r="623" spans="3:5" s="19" customFormat="1" x14ac:dyDescent="0.3">
      <c r="C623" s="50"/>
      <c r="D623" s="569"/>
      <c r="E623" s="2"/>
    </row>
    <row r="624" spans="3:5" s="19" customFormat="1" x14ac:dyDescent="0.3">
      <c r="C624" s="50"/>
      <c r="D624" s="569"/>
      <c r="E624" s="2"/>
    </row>
    <row r="625" spans="1:5" x14ac:dyDescent="0.3">
      <c r="A625" s="19"/>
    </row>
    <row r="626" spans="1:5" x14ac:dyDescent="0.3">
      <c r="A626" s="19"/>
    </row>
    <row r="627" spans="1:5" x14ac:dyDescent="0.3">
      <c r="A627" s="19"/>
    </row>
    <row r="628" spans="1:5" x14ac:dyDescent="0.3">
      <c r="A628" s="19"/>
    </row>
    <row r="629" spans="1:5" x14ac:dyDescent="0.3">
      <c r="A629" s="19"/>
    </row>
    <row r="630" spans="1:5" x14ac:dyDescent="0.3">
      <c r="A630" s="19"/>
    </row>
    <row r="631" spans="1:5" x14ac:dyDescent="0.3">
      <c r="A631" s="19"/>
    </row>
    <row r="632" spans="1:5" x14ac:dyDescent="0.3">
      <c r="A632" s="19"/>
    </row>
    <row r="633" spans="1:5" ht="17.25" x14ac:dyDescent="0.35">
      <c r="A633" s="19"/>
      <c r="C633" s="1412"/>
      <c r="E633" s="1408"/>
    </row>
    <row r="634" spans="1:5" ht="17.25" x14ac:dyDescent="0.35">
      <c r="A634" s="19"/>
      <c r="D634" s="1411"/>
    </row>
    <row r="635" spans="1:5" x14ac:dyDescent="0.3">
      <c r="A635" s="19"/>
      <c r="D635" s="1413"/>
    </row>
    <row r="641" spans="2:5" s="19" customFormat="1" x14ac:dyDescent="0.3">
      <c r="C641" s="50"/>
      <c r="D641" s="1413"/>
      <c r="E641" s="2"/>
    </row>
    <row r="648" spans="2:5" s="19" customFormat="1" x14ac:dyDescent="0.3">
      <c r="C648" s="50"/>
      <c r="D648" s="569"/>
      <c r="E648" s="1419"/>
    </row>
    <row r="654" spans="2:5" s="19" customFormat="1" x14ac:dyDescent="0.3">
      <c r="C654" s="50"/>
      <c r="D654" s="569"/>
      <c r="E654" s="90"/>
    </row>
    <row r="655" spans="2:5" s="19" customFormat="1" x14ac:dyDescent="0.3">
      <c r="B655" s="63"/>
      <c r="C655" s="955"/>
      <c r="D655" s="569"/>
      <c r="E655" s="2"/>
    </row>
    <row r="656" spans="2:5" s="19" customFormat="1" x14ac:dyDescent="0.3">
      <c r="C656" s="955"/>
      <c r="D656" s="1404"/>
      <c r="E656" s="571"/>
    </row>
    <row r="657" spans="2:5" s="19" customFormat="1" x14ac:dyDescent="0.3">
      <c r="B657" s="63"/>
      <c r="C657" s="955"/>
      <c r="D657" s="1404"/>
      <c r="E657" s="2"/>
    </row>
    <row r="658" spans="2:5" s="19" customFormat="1" x14ac:dyDescent="0.3">
      <c r="C658" s="50"/>
      <c r="D658" s="1404"/>
      <c r="E658" s="2"/>
    </row>
    <row r="659" spans="2:5" s="19" customFormat="1" x14ac:dyDescent="0.3">
      <c r="C659" s="50"/>
      <c r="D659" s="569"/>
      <c r="E659" s="2"/>
    </row>
    <row r="660" spans="2:5" s="19" customFormat="1" x14ac:dyDescent="0.3">
      <c r="C660" s="50"/>
      <c r="D660" s="1413"/>
      <c r="E660" s="2"/>
    </row>
    <row r="668" spans="2:5" s="19" customFormat="1" x14ac:dyDescent="0.3">
      <c r="C668" s="50"/>
      <c r="D668" s="569"/>
      <c r="E668" s="1419"/>
    </row>
    <row r="672" spans="2:5" s="19" customFormat="1" ht="17.25" x14ac:dyDescent="0.35">
      <c r="C672" s="50"/>
      <c r="D672" s="569"/>
      <c r="E672" s="1408"/>
    </row>
    <row r="673" spans="1:5" ht="17.25" x14ac:dyDescent="0.35">
      <c r="A673" s="19"/>
      <c r="D673" s="1411"/>
      <c r="E673" s="1408"/>
    </row>
    <row r="674" spans="1:5" ht="17.25" x14ac:dyDescent="0.35">
      <c r="A674" s="19"/>
      <c r="D674" s="1411"/>
    </row>
    <row r="675" spans="1:5" x14ac:dyDescent="0.3">
      <c r="A675" s="19"/>
    </row>
    <row r="691" spans="3:5" s="19" customFormat="1" ht="17.25" x14ac:dyDescent="0.35">
      <c r="D691" s="569"/>
      <c r="E691" s="1408"/>
    </row>
    <row r="692" spans="3:5" s="19" customFormat="1" ht="17.25" x14ac:dyDescent="0.35">
      <c r="D692" s="1411"/>
      <c r="E692" s="2"/>
    </row>
    <row r="693" spans="3:5" s="19" customFormat="1" x14ac:dyDescent="0.3">
      <c r="C693" s="50"/>
      <c r="D693" s="569"/>
      <c r="E693" s="2"/>
    </row>
    <row r="694" spans="3:5" s="19" customFormat="1" x14ac:dyDescent="0.3">
      <c r="C694" s="50"/>
      <c r="D694" s="1413"/>
      <c r="E694" s="2"/>
    </row>
    <row r="695" spans="3:5" s="19" customFormat="1" x14ac:dyDescent="0.3">
      <c r="C695" s="50"/>
      <c r="D695" s="569"/>
      <c r="E695" s="2"/>
    </row>
    <row r="696" spans="3:5" s="19" customFormat="1" x14ac:dyDescent="0.3">
      <c r="C696" s="50"/>
      <c r="D696" s="569"/>
      <c r="E696" s="2"/>
    </row>
    <row r="697" spans="3:5" s="19" customFormat="1" x14ac:dyDescent="0.3">
      <c r="C697" s="50"/>
      <c r="D697" s="569"/>
      <c r="E697" s="2"/>
    </row>
    <row r="698" spans="3:5" s="19" customFormat="1" x14ac:dyDescent="0.3">
      <c r="C698" s="50"/>
      <c r="D698" s="569"/>
      <c r="E698" s="2"/>
    </row>
    <row r="699" spans="3:5" s="19" customFormat="1" x14ac:dyDescent="0.3">
      <c r="C699" s="50"/>
      <c r="D699" s="569"/>
      <c r="E699" s="2"/>
    </row>
    <row r="700" spans="3:5" s="19" customFormat="1" x14ac:dyDescent="0.3">
      <c r="C700" s="50"/>
      <c r="D700" s="569"/>
      <c r="E700" s="2"/>
    </row>
    <row r="701" spans="3:5" s="19" customFormat="1" x14ac:dyDescent="0.3">
      <c r="C701" s="50"/>
      <c r="D701" s="569"/>
      <c r="E701" s="2"/>
    </row>
    <row r="702" spans="3:5" s="19" customFormat="1" x14ac:dyDescent="0.3">
      <c r="C702" s="50"/>
      <c r="D702" s="569"/>
      <c r="E702" s="2"/>
    </row>
    <row r="703" spans="3:5" s="19" customFormat="1" x14ac:dyDescent="0.3">
      <c r="C703" s="50"/>
      <c r="D703" s="569"/>
      <c r="E703" s="2"/>
    </row>
    <row r="704" spans="3:5" s="19" customFormat="1" x14ac:dyDescent="0.3">
      <c r="C704" s="50"/>
      <c r="D704" s="569"/>
      <c r="E704" s="1419"/>
    </row>
    <row r="705" spans="1:5 16142:16384" x14ac:dyDescent="0.3">
      <c r="A705" s="19"/>
    </row>
    <row r="706" spans="1:5 16142:16384" x14ac:dyDescent="0.3">
      <c r="A706" s="19"/>
    </row>
    <row r="707" spans="1:5 16142:16384" x14ac:dyDescent="0.3">
      <c r="A707" s="19"/>
      <c r="E707" s="90"/>
    </row>
    <row r="708" spans="1:5 16142:16384" x14ac:dyDescent="0.3">
      <c r="A708" s="19"/>
      <c r="B708" s="63"/>
      <c r="C708" s="955"/>
    </row>
    <row r="709" spans="1:5 16142:16384" x14ac:dyDescent="0.3">
      <c r="A709" s="19"/>
      <c r="C709" s="955"/>
      <c r="D709" s="1404"/>
      <c r="E709" s="571"/>
    </row>
    <row r="710" spans="1:5 16142:16384" x14ac:dyDescent="0.3">
      <c r="A710" s="19"/>
      <c r="B710" s="63"/>
      <c r="C710" s="955"/>
      <c r="D710" s="1404"/>
    </row>
    <row r="711" spans="1:5 16142:16384" x14ac:dyDescent="0.3">
      <c r="A711" s="19"/>
      <c r="D711" s="1404"/>
    </row>
    <row r="712" spans="1:5 16142:16384" x14ac:dyDescent="0.3">
      <c r="A712" s="19"/>
    </row>
    <row r="713" spans="1:5 16142:16384" ht="17.25" x14ac:dyDescent="0.35">
      <c r="A713" s="19"/>
      <c r="D713" s="1411"/>
    </row>
    <row r="715" spans="1:5 16142:16384" x14ac:dyDescent="0.3">
      <c r="A715" s="19"/>
      <c r="D715" s="1413"/>
      <c r="WVV715" s="2"/>
      <c r="WVW715" s="2"/>
      <c r="WVX715" s="2"/>
      <c r="WVY715" s="2"/>
      <c r="WVZ715" s="2"/>
      <c r="WWA715" s="2"/>
      <c r="WWB715" s="2"/>
      <c r="WWC715" s="2"/>
      <c r="WWD715" s="2"/>
      <c r="WWE715" s="2"/>
      <c r="WWF715" s="2"/>
      <c r="WWG715" s="2"/>
      <c r="WWH715" s="2"/>
      <c r="WWI715" s="2"/>
      <c r="WWJ715" s="2"/>
      <c r="WWK715" s="2"/>
      <c r="WWL715" s="2"/>
      <c r="WWM715" s="2"/>
      <c r="WWN715" s="2"/>
      <c r="WWO715" s="2"/>
      <c r="WWP715" s="2"/>
      <c r="WWQ715" s="2"/>
      <c r="WWR715" s="2"/>
      <c r="WWS715" s="2"/>
      <c r="WWT715" s="2"/>
      <c r="WWU715" s="2"/>
      <c r="WWV715" s="2"/>
      <c r="WWW715" s="2"/>
      <c r="WWX715" s="2"/>
      <c r="WWY715" s="2"/>
      <c r="WWZ715" s="2"/>
      <c r="WXA715" s="2"/>
      <c r="WXB715" s="2"/>
      <c r="WXC715" s="2"/>
      <c r="WXD715" s="2"/>
      <c r="WXE715" s="2"/>
      <c r="WXF715" s="2"/>
      <c r="WXG715" s="2"/>
      <c r="WXH715" s="2"/>
      <c r="WXI715" s="2"/>
      <c r="WXJ715" s="2"/>
      <c r="WXK715" s="2"/>
      <c r="WXL715" s="2"/>
      <c r="WXM715" s="2"/>
      <c r="WXN715" s="2"/>
      <c r="WXO715" s="2"/>
      <c r="WXP715" s="2"/>
      <c r="WXQ715" s="2"/>
      <c r="WXR715" s="2"/>
      <c r="WXS715" s="2"/>
      <c r="WXT715" s="2"/>
      <c r="WXU715" s="2"/>
      <c r="WXV715" s="2"/>
      <c r="WXW715" s="2"/>
      <c r="WXX715" s="2"/>
      <c r="WXY715" s="2"/>
      <c r="WXZ715" s="2"/>
      <c r="WYA715" s="2"/>
      <c r="WYB715" s="2"/>
      <c r="WYC715" s="2"/>
      <c r="WYD715" s="2"/>
      <c r="WYE715" s="2"/>
      <c r="WYF715" s="2"/>
      <c r="WYG715" s="2"/>
      <c r="WYH715" s="2"/>
      <c r="WYI715" s="2"/>
      <c r="WYJ715" s="2"/>
      <c r="WYK715" s="2"/>
      <c r="WYL715" s="2"/>
      <c r="WYM715" s="2"/>
      <c r="WYN715" s="2"/>
      <c r="WYO715" s="2"/>
      <c r="WYP715" s="2"/>
      <c r="WYQ715" s="2"/>
      <c r="WYR715" s="2"/>
      <c r="WYS715" s="2"/>
      <c r="WYT715" s="2"/>
      <c r="WYU715" s="2"/>
      <c r="WYV715" s="2"/>
      <c r="WYW715" s="2"/>
      <c r="WYX715" s="2"/>
      <c r="WYY715" s="2"/>
      <c r="WYZ715" s="2"/>
      <c r="WZA715" s="2"/>
      <c r="WZB715" s="2"/>
      <c r="WZC715" s="2"/>
      <c r="WZD715" s="2"/>
      <c r="WZE715" s="2"/>
      <c r="WZF715" s="2"/>
      <c r="WZG715" s="2"/>
      <c r="WZH715" s="2"/>
      <c r="WZI715" s="2"/>
      <c r="WZJ715" s="2"/>
      <c r="WZK715" s="2"/>
      <c r="WZL715" s="2"/>
      <c r="WZM715" s="2"/>
      <c r="WZN715" s="2"/>
      <c r="WZO715" s="2"/>
      <c r="WZP715" s="2"/>
      <c r="WZQ715" s="2"/>
      <c r="WZR715" s="2"/>
      <c r="WZS715" s="2"/>
      <c r="WZT715" s="2"/>
      <c r="WZU715" s="2"/>
      <c r="WZV715" s="2"/>
      <c r="WZW715" s="2"/>
      <c r="WZX715" s="2"/>
      <c r="WZY715" s="2"/>
      <c r="WZZ715" s="2"/>
      <c r="XAA715" s="2"/>
      <c r="XAB715" s="2"/>
      <c r="XAC715" s="2"/>
      <c r="XAD715" s="2"/>
      <c r="XAE715" s="2"/>
      <c r="XAF715" s="2"/>
      <c r="XAG715" s="2"/>
      <c r="XAH715" s="2"/>
      <c r="XAI715" s="2"/>
      <c r="XAJ715" s="2"/>
      <c r="XAK715" s="2"/>
      <c r="XAL715" s="2"/>
      <c r="XAM715" s="2"/>
      <c r="XAN715" s="2"/>
      <c r="XAO715" s="2"/>
      <c r="XAP715" s="2"/>
      <c r="XAQ715" s="2"/>
      <c r="XAR715" s="2"/>
      <c r="XAS715" s="2"/>
      <c r="XAT715" s="2"/>
      <c r="XAU715" s="2"/>
      <c r="XAV715" s="2"/>
      <c r="XAW715" s="2"/>
      <c r="XAX715" s="2"/>
      <c r="XAY715" s="2"/>
      <c r="XAZ715" s="2"/>
      <c r="XBA715" s="2"/>
      <c r="XBB715" s="2"/>
      <c r="XBC715" s="2"/>
      <c r="XBD715" s="2"/>
      <c r="XBE715" s="2"/>
      <c r="XBF715" s="2"/>
      <c r="XBG715" s="2"/>
      <c r="XBH715" s="2"/>
      <c r="XBI715" s="2"/>
      <c r="XBJ715" s="2"/>
      <c r="XBK715" s="2"/>
      <c r="XBL715" s="2"/>
      <c r="XBM715" s="2"/>
      <c r="XBN715" s="2"/>
      <c r="XBO715" s="2"/>
      <c r="XBP715" s="2"/>
      <c r="XBQ715" s="2"/>
      <c r="XBR715" s="2"/>
      <c r="XBS715" s="2"/>
      <c r="XBT715" s="2"/>
      <c r="XBU715" s="2"/>
      <c r="XBV715" s="2"/>
      <c r="XBW715" s="2"/>
      <c r="XBX715" s="2"/>
      <c r="XBY715" s="2"/>
      <c r="XBZ715" s="2"/>
      <c r="XCA715" s="2"/>
      <c r="XCB715" s="2"/>
      <c r="XCC715" s="2"/>
      <c r="XCD715" s="2"/>
      <c r="XCE715" s="2"/>
      <c r="XCF715" s="2"/>
      <c r="XCG715" s="2"/>
      <c r="XCH715" s="2"/>
      <c r="XCI715" s="2"/>
      <c r="XCJ715" s="2"/>
      <c r="XCK715" s="2"/>
      <c r="XCL715" s="2"/>
      <c r="XCM715" s="2"/>
      <c r="XCN715" s="2"/>
      <c r="XCO715" s="2"/>
      <c r="XCP715" s="2"/>
      <c r="XCQ715" s="2"/>
      <c r="XCR715" s="2"/>
      <c r="XCS715" s="2"/>
      <c r="XCT715" s="2"/>
      <c r="XCU715" s="2"/>
      <c r="XCV715" s="2"/>
      <c r="XCW715" s="2"/>
      <c r="XCX715" s="2"/>
      <c r="XCY715" s="2"/>
      <c r="XCZ715" s="2"/>
      <c r="XDA715" s="2"/>
      <c r="XDB715" s="2"/>
      <c r="XDC715" s="2"/>
      <c r="XDD715" s="2"/>
      <c r="XDE715" s="2"/>
      <c r="XDF715" s="2"/>
      <c r="XDG715" s="2"/>
      <c r="XDH715" s="2"/>
      <c r="XDI715" s="2"/>
      <c r="XDJ715" s="2"/>
      <c r="XDK715" s="2"/>
      <c r="XDL715" s="2"/>
      <c r="XDM715" s="2"/>
      <c r="XDN715" s="2"/>
      <c r="XDO715" s="2"/>
      <c r="XDP715" s="2"/>
      <c r="XDQ715" s="2"/>
      <c r="XDR715" s="2"/>
      <c r="XDS715" s="2"/>
      <c r="XDT715" s="2"/>
      <c r="XDU715" s="2"/>
      <c r="XDV715" s="2"/>
      <c r="XDW715" s="2"/>
      <c r="XDX715" s="2"/>
      <c r="XDY715" s="2"/>
      <c r="XDZ715" s="2"/>
      <c r="XEA715" s="2"/>
      <c r="XEB715" s="2"/>
      <c r="XEC715" s="2"/>
      <c r="XED715" s="2"/>
      <c r="XEE715" s="2"/>
      <c r="XEF715" s="2"/>
      <c r="XEG715" s="2"/>
      <c r="XEH715" s="2"/>
      <c r="XEI715" s="2"/>
      <c r="XEJ715" s="2"/>
      <c r="XEK715" s="2"/>
      <c r="XEL715" s="2"/>
      <c r="XEM715" s="2"/>
      <c r="XEN715" s="2"/>
      <c r="XEO715" s="2"/>
      <c r="XEP715" s="2"/>
      <c r="XEQ715" s="2"/>
      <c r="XER715" s="2"/>
      <c r="XES715" s="2"/>
      <c r="XET715" s="2"/>
      <c r="XEU715" s="2"/>
      <c r="XEV715" s="2"/>
      <c r="XEW715" s="2"/>
      <c r="XEX715" s="2"/>
      <c r="XEY715" s="2"/>
      <c r="XEZ715" s="2"/>
      <c r="XFA715" s="2"/>
      <c r="XFB715" s="2"/>
      <c r="XFC715" s="2"/>
      <c r="XFD715" s="2"/>
    </row>
    <row r="761" spans="2:5" s="19" customFormat="1" x14ac:dyDescent="0.3">
      <c r="C761" s="50"/>
      <c r="D761" s="569"/>
      <c r="E761" s="90"/>
    </row>
    <row r="762" spans="2:5" s="19" customFormat="1" x14ac:dyDescent="0.3">
      <c r="B762" s="63"/>
      <c r="C762" s="955"/>
      <c r="D762" s="569"/>
      <c r="E762" s="2"/>
    </row>
    <row r="763" spans="2:5" s="19" customFormat="1" x14ac:dyDescent="0.3">
      <c r="C763" s="955"/>
      <c r="D763" s="1404"/>
      <c r="E763" s="571"/>
    </row>
    <row r="764" spans="2:5" s="19" customFormat="1" x14ac:dyDescent="0.3">
      <c r="B764" s="63"/>
      <c r="C764" s="955"/>
      <c r="D764" s="1404"/>
      <c r="E764" s="2"/>
    </row>
    <row r="765" spans="2:5" s="19" customFormat="1" x14ac:dyDescent="0.3">
      <c r="C765" s="50"/>
      <c r="D765" s="1404"/>
      <c r="E765" s="2"/>
    </row>
    <row r="766" spans="2:5" s="19" customFormat="1" x14ac:dyDescent="0.3">
      <c r="C766" s="50"/>
      <c r="D766" s="569"/>
      <c r="E766" s="1419"/>
    </row>
    <row r="767" spans="2:5" s="19" customFormat="1" x14ac:dyDescent="0.3">
      <c r="C767" s="50"/>
      <c r="D767" s="569"/>
      <c r="E767" s="2"/>
    </row>
    <row r="768" spans="2:5" s="19" customFormat="1" x14ac:dyDescent="0.3">
      <c r="C768" s="50"/>
      <c r="D768" s="569"/>
      <c r="E768" s="2"/>
    </row>
    <row r="769" spans="1:5 16142:16384" x14ac:dyDescent="0.3">
      <c r="A769" s="19"/>
    </row>
    <row r="770" spans="1:5 16142:16384" x14ac:dyDescent="0.3">
      <c r="A770" s="19"/>
    </row>
    <row r="771" spans="1:5 16142:16384" ht="17.25" x14ac:dyDescent="0.35">
      <c r="A771" s="19"/>
      <c r="E771" s="1408"/>
    </row>
    <row r="772" spans="1:5 16142:16384" ht="17.25" x14ac:dyDescent="0.35">
      <c r="A772" s="19"/>
      <c r="D772" s="1411"/>
    </row>
    <row r="773" spans="1:5 16142:16384" x14ac:dyDescent="0.3">
      <c r="A773" s="19"/>
      <c r="C773" s="19"/>
    </row>
    <row r="774" spans="1:5 16142:16384" x14ac:dyDescent="0.3">
      <c r="A774" s="19"/>
      <c r="C774" s="19"/>
    </row>
    <row r="775" spans="1:5 16142:16384" x14ac:dyDescent="0.3">
      <c r="A775" s="19"/>
      <c r="C775" s="19"/>
      <c r="D775" s="1413"/>
    </row>
    <row r="776" spans="1:5 16142:16384" x14ac:dyDescent="0.3">
      <c r="A776" s="19"/>
      <c r="C776" s="19"/>
    </row>
    <row r="777" spans="1:5 16142:16384" x14ac:dyDescent="0.3">
      <c r="A777" s="19"/>
      <c r="C777" s="19"/>
    </row>
    <row r="778" spans="1:5 16142:16384" x14ac:dyDescent="0.3">
      <c r="A778" s="19"/>
      <c r="C778" s="19"/>
    </row>
    <row r="779" spans="1:5 16142:16384" x14ac:dyDescent="0.3">
      <c r="A779" s="19"/>
      <c r="C779" s="19"/>
      <c r="WVV779" s="2"/>
      <c r="WVW779" s="2"/>
      <c r="WVX779" s="2"/>
      <c r="WVY779" s="2"/>
      <c r="WVZ779" s="2"/>
      <c r="WWA779" s="2"/>
      <c r="WWB779" s="2"/>
      <c r="WWC779" s="2"/>
      <c r="WWD779" s="2"/>
      <c r="WWE779" s="2"/>
      <c r="WWF779" s="2"/>
      <c r="WWG779" s="2"/>
      <c r="WWH779" s="2"/>
      <c r="WWI779" s="2"/>
      <c r="WWJ779" s="2"/>
      <c r="WWK779" s="2"/>
      <c r="WWL779" s="2"/>
      <c r="WWM779" s="2"/>
      <c r="WWN779" s="2"/>
      <c r="WWO779" s="2"/>
      <c r="WWP779" s="2"/>
      <c r="WWQ779" s="2"/>
      <c r="WWR779" s="2"/>
      <c r="WWS779" s="2"/>
      <c r="WWT779" s="2"/>
      <c r="WWU779" s="2"/>
      <c r="WWV779" s="2"/>
      <c r="WWW779" s="2"/>
      <c r="WWX779" s="2"/>
      <c r="WWY779" s="2"/>
      <c r="WWZ779" s="2"/>
      <c r="WXA779" s="2"/>
      <c r="WXB779" s="2"/>
      <c r="WXC779" s="2"/>
      <c r="WXD779" s="2"/>
      <c r="WXE779" s="2"/>
      <c r="WXF779" s="2"/>
      <c r="WXG779" s="2"/>
      <c r="WXH779" s="2"/>
      <c r="WXI779" s="2"/>
      <c r="WXJ779" s="2"/>
      <c r="WXK779" s="2"/>
      <c r="WXL779" s="2"/>
      <c r="WXM779" s="2"/>
      <c r="WXN779" s="2"/>
      <c r="WXO779" s="2"/>
      <c r="WXP779" s="2"/>
      <c r="WXQ779" s="2"/>
      <c r="WXR779" s="2"/>
      <c r="WXS779" s="2"/>
      <c r="WXT779" s="2"/>
      <c r="WXU779" s="2"/>
      <c r="WXV779" s="2"/>
      <c r="WXW779" s="2"/>
      <c r="WXX779" s="2"/>
      <c r="WXY779" s="2"/>
      <c r="WXZ779" s="2"/>
      <c r="WYA779" s="2"/>
      <c r="WYB779" s="2"/>
      <c r="WYC779" s="2"/>
      <c r="WYD779" s="2"/>
      <c r="WYE779" s="2"/>
      <c r="WYF779" s="2"/>
      <c r="WYG779" s="2"/>
      <c r="WYH779" s="2"/>
      <c r="WYI779" s="2"/>
      <c r="WYJ779" s="2"/>
      <c r="WYK779" s="2"/>
      <c r="WYL779" s="2"/>
      <c r="WYM779" s="2"/>
      <c r="WYN779" s="2"/>
      <c r="WYO779" s="2"/>
      <c r="WYP779" s="2"/>
      <c r="WYQ779" s="2"/>
      <c r="WYR779" s="2"/>
      <c r="WYS779" s="2"/>
      <c r="WYT779" s="2"/>
      <c r="WYU779" s="2"/>
      <c r="WYV779" s="2"/>
      <c r="WYW779" s="2"/>
      <c r="WYX779" s="2"/>
      <c r="WYY779" s="2"/>
      <c r="WYZ779" s="2"/>
      <c r="WZA779" s="2"/>
      <c r="WZB779" s="2"/>
      <c r="WZC779" s="2"/>
      <c r="WZD779" s="2"/>
      <c r="WZE779" s="2"/>
      <c r="WZF779" s="2"/>
      <c r="WZG779" s="2"/>
      <c r="WZH779" s="2"/>
      <c r="WZI779" s="2"/>
      <c r="WZJ779" s="2"/>
      <c r="WZK779" s="2"/>
      <c r="WZL779" s="2"/>
      <c r="WZM779" s="2"/>
      <c r="WZN779" s="2"/>
      <c r="WZO779" s="2"/>
      <c r="WZP779" s="2"/>
      <c r="WZQ779" s="2"/>
      <c r="WZR779" s="2"/>
      <c r="WZS779" s="2"/>
      <c r="WZT779" s="2"/>
      <c r="WZU779" s="2"/>
      <c r="WZV779" s="2"/>
      <c r="WZW779" s="2"/>
      <c r="WZX779" s="2"/>
      <c r="WZY779" s="2"/>
      <c r="WZZ779" s="2"/>
      <c r="XAA779" s="2"/>
      <c r="XAB779" s="2"/>
      <c r="XAC779" s="2"/>
      <c r="XAD779" s="2"/>
      <c r="XAE779" s="2"/>
      <c r="XAF779" s="2"/>
      <c r="XAG779" s="2"/>
      <c r="XAH779" s="2"/>
      <c r="XAI779" s="2"/>
      <c r="XAJ779" s="2"/>
      <c r="XAK779" s="2"/>
      <c r="XAL779" s="2"/>
      <c r="XAM779" s="2"/>
      <c r="XAN779" s="2"/>
      <c r="XAO779" s="2"/>
      <c r="XAP779" s="2"/>
      <c r="XAQ779" s="2"/>
      <c r="XAR779" s="2"/>
      <c r="XAS779" s="2"/>
      <c r="XAT779" s="2"/>
      <c r="XAU779" s="2"/>
      <c r="XAV779" s="2"/>
      <c r="XAW779" s="2"/>
      <c r="XAX779" s="2"/>
      <c r="XAY779" s="2"/>
      <c r="XAZ779" s="2"/>
      <c r="XBA779" s="2"/>
      <c r="XBB779" s="2"/>
      <c r="XBC779" s="2"/>
      <c r="XBD779" s="2"/>
      <c r="XBE779" s="2"/>
      <c r="XBF779" s="2"/>
      <c r="XBG779" s="2"/>
      <c r="XBH779" s="2"/>
      <c r="XBI779" s="2"/>
      <c r="XBJ779" s="2"/>
      <c r="XBK779" s="2"/>
      <c r="XBL779" s="2"/>
      <c r="XBM779" s="2"/>
      <c r="XBN779" s="2"/>
      <c r="XBO779" s="2"/>
      <c r="XBP779" s="2"/>
      <c r="XBQ779" s="2"/>
      <c r="XBR779" s="2"/>
      <c r="XBS779" s="2"/>
      <c r="XBT779" s="2"/>
      <c r="XBU779" s="2"/>
      <c r="XBV779" s="2"/>
      <c r="XBW779" s="2"/>
      <c r="XBX779" s="2"/>
      <c r="XBY779" s="2"/>
      <c r="XBZ779" s="2"/>
      <c r="XCA779" s="2"/>
      <c r="XCB779" s="2"/>
      <c r="XCC779" s="2"/>
      <c r="XCD779" s="2"/>
      <c r="XCE779" s="2"/>
      <c r="XCF779" s="2"/>
      <c r="XCG779" s="2"/>
      <c r="XCH779" s="2"/>
      <c r="XCI779" s="2"/>
      <c r="XCJ779" s="2"/>
      <c r="XCK779" s="2"/>
      <c r="XCL779" s="2"/>
      <c r="XCM779" s="2"/>
      <c r="XCN779" s="2"/>
      <c r="XCO779" s="2"/>
      <c r="XCP779" s="2"/>
      <c r="XCQ779" s="2"/>
      <c r="XCR779" s="2"/>
      <c r="XCS779" s="2"/>
      <c r="XCT779" s="2"/>
      <c r="XCU779" s="2"/>
      <c r="XCV779" s="2"/>
      <c r="XCW779" s="2"/>
      <c r="XCX779" s="2"/>
      <c r="XCY779" s="2"/>
      <c r="XCZ779" s="2"/>
      <c r="XDA779" s="2"/>
      <c r="XDB779" s="2"/>
      <c r="XDC779" s="2"/>
      <c r="XDD779" s="2"/>
      <c r="XDE779" s="2"/>
      <c r="XDF779" s="2"/>
      <c r="XDG779" s="2"/>
      <c r="XDH779" s="2"/>
      <c r="XDI779" s="2"/>
      <c r="XDJ779" s="2"/>
      <c r="XDK779" s="2"/>
      <c r="XDL779" s="2"/>
      <c r="XDM779" s="2"/>
      <c r="XDN779" s="2"/>
      <c r="XDO779" s="2"/>
      <c r="XDP779" s="2"/>
      <c r="XDQ779" s="2"/>
      <c r="XDR779" s="2"/>
      <c r="XDS779" s="2"/>
      <c r="XDT779" s="2"/>
      <c r="XDU779" s="2"/>
      <c r="XDV779" s="2"/>
      <c r="XDW779" s="2"/>
      <c r="XDX779" s="2"/>
      <c r="XDY779" s="2"/>
      <c r="XDZ779" s="2"/>
      <c r="XEA779" s="2"/>
      <c r="XEB779" s="2"/>
      <c r="XEC779" s="2"/>
      <c r="XED779" s="2"/>
      <c r="XEE779" s="2"/>
      <c r="XEF779" s="2"/>
      <c r="XEG779" s="2"/>
      <c r="XEH779" s="2"/>
      <c r="XEI779" s="2"/>
      <c r="XEJ779" s="2"/>
      <c r="XEK779" s="2"/>
      <c r="XEL779" s="2"/>
      <c r="XEM779" s="2"/>
      <c r="XEN779" s="2"/>
      <c r="XEO779" s="2"/>
      <c r="XEP779" s="2"/>
      <c r="XEQ779" s="2"/>
      <c r="XER779" s="2"/>
      <c r="XES779" s="2"/>
      <c r="XET779" s="2"/>
      <c r="XEU779" s="2"/>
      <c r="XEV779" s="2"/>
      <c r="XEW779" s="2"/>
      <c r="XEX779" s="2"/>
      <c r="XEY779" s="2"/>
      <c r="XEZ779" s="2"/>
      <c r="XFA779" s="2"/>
      <c r="XFB779" s="2"/>
      <c r="XFC779" s="2"/>
      <c r="XFD779" s="2"/>
    </row>
    <row r="780" spans="1:5 16142:16384" x14ac:dyDescent="0.3">
      <c r="A780" s="19"/>
      <c r="C780" s="19"/>
      <c r="WVV780" s="2"/>
      <c r="WVW780" s="2"/>
      <c r="WVX780" s="2"/>
      <c r="WVY780" s="2"/>
      <c r="WVZ780" s="2"/>
      <c r="WWA780" s="2"/>
      <c r="WWB780" s="2"/>
      <c r="WWC780" s="2"/>
      <c r="WWD780" s="2"/>
      <c r="WWE780" s="2"/>
      <c r="WWF780" s="2"/>
      <c r="WWG780" s="2"/>
      <c r="WWH780" s="2"/>
      <c r="WWI780" s="2"/>
      <c r="WWJ780" s="2"/>
      <c r="WWK780" s="2"/>
      <c r="WWL780" s="2"/>
      <c r="WWM780" s="2"/>
      <c r="WWN780" s="2"/>
      <c r="WWO780" s="2"/>
      <c r="WWP780" s="2"/>
      <c r="WWQ780" s="2"/>
      <c r="WWR780" s="2"/>
      <c r="WWS780" s="2"/>
      <c r="WWT780" s="2"/>
      <c r="WWU780" s="2"/>
      <c r="WWV780" s="2"/>
      <c r="WWW780" s="2"/>
      <c r="WWX780" s="2"/>
      <c r="WWY780" s="2"/>
      <c r="WWZ780" s="2"/>
      <c r="WXA780" s="2"/>
      <c r="WXB780" s="2"/>
      <c r="WXC780" s="2"/>
      <c r="WXD780" s="2"/>
      <c r="WXE780" s="2"/>
      <c r="WXF780" s="2"/>
      <c r="WXG780" s="2"/>
      <c r="WXH780" s="2"/>
      <c r="WXI780" s="2"/>
      <c r="WXJ780" s="2"/>
      <c r="WXK780" s="2"/>
      <c r="WXL780" s="2"/>
      <c r="WXM780" s="2"/>
      <c r="WXN780" s="2"/>
      <c r="WXO780" s="2"/>
      <c r="WXP780" s="2"/>
      <c r="WXQ780" s="2"/>
      <c r="WXR780" s="2"/>
      <c r="WXS780" s="2"/>
      <c r="WXT780" s="2"/>
      <c r="WXU780" s="2"/>
      <c r="WXV780" s="2"/>
      <c r="WXW780" s="2"/>
      <c r="WXX780" s="2"/>
      <c r="WXY780" s="2"/>
      <c r="WXZ780" s="2"/>
      <c r="WYA780" s="2"/>
      <c r="WYB780" s="2"/>
      <c r="WYC780" s="2"/>
      <c r="WYD780" s="2"/>
      <c r="WYE780" s="2"/>
      <c r="WYF780" s="2"/>
      <c r="WYG780" s="2"/>
      <c r="WYH780" s="2"/>
      <c r="WYI780" s="2"/>
      <c r="WYJ780" s="2"/>
      <c r="WYK780" s="2"/>
      <c r="WYL780" s="2"/>
      <c r="WYM780" s="2"/>
      <c r="WYN780" s="2"/>
      <c r="WYO780" s="2"/>
      <c r="WYP780" s="2"/>
      <c r="WYQ780" s="2"/>
      <c r="WYR780" s="2"/>
      <c r="WYS780" s="2"/>
      <c r="WYT780" s="2"/>
      <c r="WYU780" s="2"/>
      <c r="WYV780" s="2"/>
      <c r="WYW780" s="2"/>
      <c r="WYX780" s="2"/>
      <c r="WYY780" s="2"/>
      <c r="WYZ780" s="2"/>
      <c r="WZA780" s="2"/>
      <c r="WZB780" s="2"/>
      <c r="WZC780" s="2"/>
      <c r="WZD780" s="2"/>
      <c r="WZE780" s="2"/>
      <c r="WZF780" s="2"/>
      <c r="WZG780" s="2"/>
      <c r="WZH780" s="2"/>
      <c r="WZI780" s="2"/>
      <c r="WZJ780" s="2"/>
      <c r="WZK780" s="2"/>
      <c r="WZL780" s="2"/>
      <c r="WZM780" s="2"/>
      <c r="WZN780" s="2"/>
      <c r="WZO780" s="2"/>
      <c r="WZP780" s="2"/>
      <c r="WZQ780" s="2"/>
      <c r="WZR780" s="2"/>
      <c r="WZS780" s="2"/>
      <c r="WZT780" s="2"/>
      <c r="WZU780" s="2"/>
      <c r="WZV780" s="2"/>
      <c r="WZW780" s="2"/>
      <c r="WZX780" s="2"/>
      <c r="WZY780" s="2"/>
      <c r="WZZ780" s="2"/>
      <c r="XAA780" s="2"/>
      <c r="XAB780" s="2"/>
      <c r="XAC780" s="2"/>
      <c r="XAD780" s="2"/>
      <c r="XAE780" s="2"/>
      <c r="XAF780" s="2"/>
      <c r="XAG780" s="2"/>
      <c r="XAH780" s="2"/>
      <c r="XAI780" s="2"/>
      <c r="XAJ780" s="2"/>
      <c r="XAK780" s="2"/>
      <c r="XAL780" s="2"/>
      <c r="XAM780" s="2"/>
      <c r="XAN780" s="2"/>
      <c r="XAO780" s="2"/>
      <c r="XAP780" s="2"/>
      <c r="XAQ780" s="2"/>
      <c r="XAR780" s="2"/>
      <c r="XAS780" s="2"/>
      <c r="XAT780" s="2"/>
      <c r="XAU780" s="2"/>
      <c r="XAV780" s="2"/>
      <c r="XAW780" s="2"/>
      <c r="XAX780" s="2"/>
      <c r="XAY780" s="2"/>
      <c r="XAZ780" s="2"/>
      <c r="XBA780" s="2"/>
      <c r="XBB780" s="2"/>
      <c r="XBC780" s="2"/>
      <c r="XBD780" s="2"/>
      <c r="XBE780" s="2"/>
      <c r="XBF780" s="2"/>
      <c r="XBG780" s="2"/>
      <c r="XBH780" s="2"/>
      <c r="XBI780" s="2"/>
      <c r="XBJ780" s="2"/>
      <c r="XBK780" s="2"/>
      <c r="XBL780" s="2"/>
      <c r="XBM780" s="2"/>
      <c r="XBN780" s="2"/>
      <c r="XBO780" s="2"/>
      <c r="XBP780" s="2"/>
      <c r="XBQ780" s="2"/>
      <c r="XBR780" s="2"/>
      <c r="XBS780" s="2"/>
      <c r="XBT780" s="2"/>
      <c r="XBU780" s="2"/>
      <c r="XBV780" s="2"/>
      <c r="XBW780" s="2"/>
      <c r="XBX780" s="2"/>
      <c r="XBY780" s="2"/>
      <c r="XBZ780" s="2"/>
      <c r="XCA780" s="2"/>
      <c r="XCB780" s="2"/>
      <c r="XCC780" s="2"/>
      <c r="XCD780" s="2"/>
      <c r="XCE780" s="2"/>
      <c r="XCF780" s="2"/>
      <c r="XCG780" s="2"/>
      <c r="XCH780" s="2"/>
      <c r="XCI780" s="2"/>
      <c r="XCJ780" s="2"/>
      <c r="XCK780" s="2"/>
      <c r="XCL780" s="2"/>
      <c r="XCM780" s="2"/>
      <c r="XCN780" s="2"/>
      <c r="XCO780" s="2"/>
      <c r="XCP780" s="2"/>
      <c r="XCQ780" s="2"/>
      <c r="XCR780" s="2"/>
      <c r="XCS780" s="2"/>
      <c r="XCT780" s="2"/>
      <c r="XCU780" s="2"/>
      <c r="XCV780" s="2"/>
      <c r="XCW780" s="2"/>
      <c r="XCX780" s="2"/>
      <c r="XCY780" s="2"/>
      <c r="XCZ780" s="2"/>
      <c r="XDA780" s="2"/>
      <c r="XDB780" s="2"/>
      <c r="XDC780" s="2"/>
      <c r="XDD780" s="2"/>
      <c r="XDE780" s="2"/>
      <c r="XDF780" s="2"/>
      <c r="XDG780" s="2"/>
      <c r="XDH780" s="2"/>
      <c r="XDI780" s="2"/>
      <c r="XDJ780" s="2"/>
      <c r="XDK780" s="2"/>
      <c r="XDL780" s="2"/>
      <c r="XDM780" s="2"/>
      <c r="XDN780" s="2"/>
      <c r="XDO780" s="2"/>
      <c r="XDP780" s="2"/>
      <c r="XDQ780" s="2"/>
      <c r="XDR780" s="2"/>
      <c r="XDS780" s="2"/>
      <c r="XDT780" s="2"/>
      <c r="XDU780" s="2"/>
      <c r="XDV780" s="2"/>
      <c r="XDW780" s="2"/>
      <c r="XDX780" s="2"/>
      <c r="XDY780" s="2"/>
      <c r="XDZ780" s="2"/>
      <c r="XEA780" s="2"/>
      <c r="XEB780" s="2"/>
      <c r="XEC780" s="2"/>
      <c r="XED780" s="2"/>
      <c r="XEE780" s="2"/>
      <c r="XEF780" s="2"/>
      <c r="XEG780" s="2"/>
      <c r="XEH780" s="2"/>
      <c r="XEI780" s="2"/>
      <c r="XEJ780" s="2"/>
      <c r="XEK780" s="2"/>
      <c r="XEL780" s="2"/>
      <c r="XEM780" s="2"/>
      <c r="XEN780" s="2"/>
      <c r="XEO780" s="2"/>
      <c r="XEP780" s="2"/>
      <c r="XEQ780" s="2"/>
      <c r="XER780" s="2"/>
      <c r="XES780" s="2"/>
      <c r="XET780" s="2"/>
      <c r="XEU780" s="2"/>
      <c r="XEV780" s="2"/>
      <c r="XEW780" s="2"/>
      <c r="XEX780" s="2"/>
      <c r="XEY780" s="2"/>
      <c r="XEZ780" s="2"/>
      <c r="XFA780" s="2"/>
      <c r="XFB780" s="2"/>
      <c r="XFC780" s="2"/>
      <c r="XFD780" s="2"/>
    </row>
    <row r="781" spans="1:5 16142:16384" x14ac:dyDescent="0.3">
      <c r="A781" s="19"/>
      <c r="C781" s="19"/>
      <c r="WVV781" s="2"/>
      <c r="WVW781" s="2"/>
      <c r="WVX781" s="2"/>
      <c r="WVY781" s="2"/>
      <c r="WVZ781" s="2"/>
      <c r="WWA781" s="2"/>
      <c r="WWB781" s="2"/>
      <c r="WWC781" s="2"/>
      <c r="WWD781" s="2"/>
      <c r="WWE781" s="2"/>
      <c r="WWF781" s="2"/>
      <c r="WWG781" s="2"/>
      <c r="WWH781" s="2"/>
      <c r="WWI781" s="2"/>
      <c r="WWJ781" s="2"/>
      <c r="WWK781" s="2"/>
      <c r="WWL781" s="2"/>
      <c r="WWM781" s="2"/>
      <c r="WWN781" s="2"/>
      <c r="WWO781" s="2"/>
      <c r="WWP781" s="2"/>
      <c r="WWQ781" s="2"/>
      <c r="WWR781" s="2"/>
      <c r="WWS781" s="2"/>
      <c r="WWT781" s="2"/>
      <c r="WWU781" s="2"/>
      <c r="WWV781" s="2"/>
      <c r="WWW781" s="2"/>
      <c r="WWX781" s="2"/>
      <c r="WWY781" s="2"/>
      <c r="WWZ781" s="2"/>
      <c r="WXA781" s="2"/>
      <c r="WXB781" s="2"/>
      <c r="WXC781" s="2"/>
      <c r="WXD781" s="2"/>
      <c r="WXE781" s="2"/>
      <c r="WXF781" s="2"/>
      <c r="WXG781" s="2"/>
      <c r="WXH781" s="2"/>
      <c r="WXI781" s="2"/>
      <c r="WXJ781" s="2"/>
      <c r="WXK781" s="2"/>
      <c r="WXL781" s="2"/>
      <c r="WXM781" s="2"/>
      <c r="WXN781" s="2"/>
      <c r="WXO781" s="2"/>
      <c r="WXP781" s="2"/>
      <c r="WXQ781" s="2"/>
      <c r="WXR781" s="2"/>
      <c r="WXS781" s="2"/>
      <c r="WXT781" s="2"/>
      <c r="WXU781" s="2"/>
      <c r="WXV781" s="2"/>
      <c r="WXW781" s="2"/>
      <c r="WXX781" s="2"/>
      <c r="WXY781" s="2"/>
      <c r="WXZ781" s="2"/>
      <c r="WYA781" s="2"/>
      <c r="WYB781" s="2"/>
      <c r="WYC781" s="2"/>
      <c r="WYD781" s="2"/>
      <c r="WYE781" s="2"/>
      <c r="WYF781" s="2"/>
      <c r="WYG781" s="2"/>
      <c r="WYH781" s="2"/>
      <c r="WYI781" s="2"/>
      <c r="WYJ781" s="2"/>
      <c r="WYK781" s="2"/>
      <c r="WYL781" s="2"/>
      <c r="WYM781" s="2"/>
      <c r="WYN781" s="2"/>
      <c r="WYO781" s="2"/>
      <c r="WYP781" s="2"/>
      <c r="WYQ781" s="2"/>
      <c r="WYR781" s="2"/>
      <c r="WYS781" s="2"/>
      <c r="WYT781" s="2"/>
      <c r="WYU781" s="2"/>
      <c r="WYV781" s="2"/>
      <c r="WYW781" s="2"/>
      <c r="WYX781" s="2"/>
      <c r="WYY781" s="2"/>
      <c r="WYZ781" s="2"/>
      <c r="WZA781" s="2"/>
      <c r="WZB781" s="2"/>
      <c r="WZC781" s="2"/>
      <c r="WZD781" s="2"/>
      <c r="WZE781" s="2"/>
      <c r="WZF781" s="2"/>
      <c r="WZG781" s="2"/>
      <c r="WZH781" s="2"/>
      <c r="WZI781" s="2"/>
      <c r="WZJ781" s="2"/>
      <c r="WZK781" s="2"/>
      <c r="WZL781" s="2"/>
      <c r="WZM781" s="2"/>
      <c r="WZN781" s="2"/>
      <c r="WZO781" s="2"/>
      <c r="WZP781" s="2"/>
      <c r="WZQ781" s="2"/>
      <c r="WZR781" s="2"/>
      <c r="WZS781" s="2"/>
      <c r="WZT781" s="2"/>
      <c r="WZU781" s="2"/>
      <c r="WZV781" s="2"/>
      <c r="WZW781" s="2"/>
      <c r="WZX781" s="2"/>
      <c r="WZY781" s="2"/>
      <c r="WZZ781" s="2"/>
      <c r="XAA781" s="2"/>
      <c r="XAB781" s="2"/>
      <c r="XAC781" s="2"/>
      <c r="XAD781" s="2"/>
      <c r="XAE781" s="2"/>
      <c r="XAF781" s="2"/>
      <c r="XAG781" s="2"/>
      <c r="XAH781" s="2"/>
      <c r="XAI781" s="2"/>
      <c r="XAJ781" s="2"/>
      <c r="XAK781" s="2"/>
      <c r="XAL781" s="2"/>
      <c r="XAM781" s="2"/>
      <c r="XAN781" s="2"/>
      <c r="XAO781" s="2"/>
      <c r="XAP781" s="2"/>
      <c r="XAQ781" s="2"/>
      <c r="XAR781" s="2"/>
      <c r="XAS781" s="2"/>
      <c r="XAT781" s="2"/>
      <c r="XAU781" s="2"/>
      <c r="XAV781" s="2"/>
      <c r="XAW781" s="2"/>
      <c r="XAX781" s="2"/>
      <c r="XAY781" s="2"/>
      <c r="XAZ781" s="2"/>
      <c r="XBA781" s="2"/>
      <c r="XBB781" s="2"/>
      <c r="XBC781" s="2"/>
      <c r="XBD781" s="2"/>
      <c r="XBE781" s="2"/>
      <c r="XBF781" s="2"/>
      <c r="XBG781" s="2"/>
      <c r="XBH781" s="2"/>
      <c r="XBI781" s="2"/>
      <c r="XBJ781" s="2"/>
      <c r="XBK781" s="2"/>
      <c r="XBL781" s="2"/>
      <c r="XBM781" s="2"/>
      <c r="XBN781" s="2"/>
      <c r="XBO781" s="2"/>
      <c r="XBP781" s="2"/>
      <c r="XBQ781" s="2"/>
      <c r="XBR781" s="2"/>
      <c r="XBS781" s="2"/>
      <c r="XBT781" s="2"/>
      <c r="XBU781" s="2"/>
      <c r="XBV781" s="2"/>
      <c r="XBW781" s="2"/>
      <c r="XBX781" s="2"/>
      <c r="XBY781" s="2"/>
      <c r="XBZ781" s="2"/>
      <c r="XCA781" s="2"/>
      <c r="XCB781" s="2"/>
      <c r="XCC781" s="2"/>
      <c r="XCD781" s="2"/>
      <c r="XCE781" s="2"/>
      <c r="XCF781" s="2"/>
      <c r="XCG781" s="2"/>
      <c r="XCH781" s="2"/>
      <c r="XCI781" s="2"/>
      <c r="XCJ781" s="2"/>
      <c r="XCK781" s="2"/>
      <c r="XCL781" s="2"/>
      <c r="XCM781" s="2"/>
      <c r="XCN781" s="2"/>
      <c r="XCO781" s="2"/>
      <c r="XCP781" s="2"/>
      <c r="XCQ781" s="2"/>
      <c r="XCR781" s="2"/>
      <c r="XCS781" s="2"/>
      <c r="XCT781" s="2"/>
      <c r="XCU781" s="2"/>
      <c r="XCV781" s="2"/>
      <c r="XCW781" s="2"/>
      <c r="XCX781" s="2"/>
      <c r="XCY781" s="2"/>
      <c r="XCZ781" s="2"/>
      <c r="XDA781" s="2"/>
      <c r="XDB781" s="2"/>
      <c r="XDC781" s="2"/>
      <c r="XDD781" s="2"/>
      <c r="XDE781" s="2"/>
      <c r="XDF781" s="2"/>
      <c r="XDG781" s="2"/>
      <c r="XDH781" s="2"/>
      <c r="XDI781" s="2"/>
      <c r="XDJ781" s="2"/>
      <c r="XDK781" s="2"/>
      <c r="XDL781" s="2"/>
      <c r="XDM781" s="2"/>
      <c r="XDN781" s="2"/>
      <c r="XDO781" s="2"/>
      <c r="XDP781" s="2"/>
      <c r="XDQ781" s="2"/>
      <c r="XDR781" s="2"/>
      <c r="XDS781" s="2"/>
      <c r="XDT781" s="2"/>
      <c r="XDU781" s="2"/>
      <c r="XDV781" s="2"/>
      <c r="XDW781" s="2"/>
      <c r="XDX781" s="2"/>
      <c r="XDY781" s="2"/>
      <c r="XDZ781" s="2"/>
      <c r="XEA781" s="2"/>
      <c r="XEB781" s="2"/>
      <c r="XEC781" s="2"/>
      <c r="XED781" s="2"/>
      <c r="XEE781" s="2"/>
      <c r="XEF781" s="2"/>
      <c r="XEG781" s="2"/>
      <c r="XEH781" s="2"/>
      <c r="XEI781" s="2"/>
      <c r="XEJ781" s="2"/>
      <c r="XEK781" s="2"/>
      <c r="XEL781" s="2"/>
      <c r="XEM781" s="2"/>
      <c r="XEN781" s="2"/>
      <c r="XEO781" s="2"/>
      <c r="XEP781" s="2"/>
      <c r="XEQ781" s="2"/>
      <c r="XER781" s="2"/>
      <c r="XES781" s="2"/>
      <c r="XET781" s="2"/>
      <c r="XEU781" s="2"/>
      <c r="XEV781" s="2"/>
      <c r="XEW781" s="2"/>
      <c r="XEX781" s="2"/>
      <c r="XEY781" s="2"/>
      <c r="XEZ781" s="2"/>
      <c r="XFA781" s="2"/>
      <c r="XFB781" s="2"/>
      <c r="XFC781" s="2"/>
      <c r="XFD781" s="2"/>
    </row>
    <row r="782" spans="1:5 16142:16384" x14ac:dyDescent="0.3">
      <c r="A782" s="19"/>
      <c r="C782" s="19"/>
      <c r="WVV782" s="2"/>
      <c r="WVW782" s="2"/>
      <c r="WVX782" s="2"/>
      <c r="WVY782" s="2"/>
      <c r="WVZ782" s="2"/>
      <c r="WWA782" s="2"/>
      <c r="WWB782" s="2"/>
      <c r="WWC782" s="2"/>
      <c r="WWD782" s="2"/>
      <c r="WWE782" s="2"/>
      <c r="WWF782" s="2"/>
      <c r="WWG782" s="2"/>
      <c r="WWH782" s="2"/>
      <c r="WWI782" s="2"/>
      <c r="WWJ782" s="2"/>
      <c r="WWK782" s="2"/>
      <c r="WWL782" s="2"/>
      <c r="WWM782" s="2"/>
      <c r="WWN782" s="2"/>
      <c r="WWO782" s="2"/>
      <c r="WWP782" s="2"/>
      <c r="WWQ782" s="2"/>
      <c r="WWR782" s="2"/>
      <c r="WWS782" s="2"/>
      <c r="WWT782" s="2"/>
      <c r="WWU782" s="2"/>
      <c r="WWV782" s="2"/>
      <c r="WWW782" s="2"/>
      <c r="WWX782" s="2"/>
      <c r="WWY782" s="2"/>
      <c r="WWZ782" s="2"/>
      <c r="WXA782" s="2"/>
      <c r="WXB782" s="2"/>
      <c r="WXC782" s="2"/>
      <c r="WXD782" s="2"/>
      <c r="WXE782" s="2"/>
      <c r="WXF782" s="2"/>
      <c r="WXG782" s="2"/>
      <c r="WXH782" s="2"/>
      <c r="WXI782" s="2"/>
      <c r="WXJ782" s="2"/>
      <c r="WXK782" s="2"/>
      <c r="WXL782" s="2"/>
      <c r="WXM782" s="2"/>
      <c r="WXN782" s="2"/>
      <c r="WXO782" s="2"/>
      <c r="WXP782" s="2"/>
      <c r="WXQ782" s="2"/>
      <c r="WXR782" s="2"/>
      <c r="WXS782" s="2"/>
      <c r="WXT782" s="2"/>
      <c r="WXU782" s="2"/>
      <c r="WXV782" s="2"/>
      <c r="WXW782" s="2"/>
      <c r="WXX782" s="2"/>
      <c r="WXY782" s="2"/>
      <c r="WXZ782" s="2"/>
      <c r="WYA782" s="2"/>
      <c r="WYB782" s="2"/>
      <c r="WYC782" s="2"/>
      <c r="WYD782" s="2"/>
      <c r="WYE782" s="2"/>
      <c r="WYF782" s="2"/>
      <c r="WYG782" s="2"/>
      <c r="WYH782" s="2"/>
      <c r="WYI782" s="2"/>
      <c r="WYJ782" s="2"/>
      <c r="WYK782" s="2"/>
      <c r="WYL782" s="2"/>
      <c r="WYM782" s="2"/>
      <c r="WYN782" s="2"/>
      <c r="WYO782" s="2"/>
      <c r="WYP782" s="2"/>
      <c r="WYQ782" s="2"/>
      <c r="WYR782" s="2"/>
      <c r="WYS782" s="2"/>
      <c r="WYT782" s="2"/>
      <c r="WYU782" s="2"/>
      <c r="WYV782" s="2"/>
      <c r="WYW782" s="2"/>
      <c r="WYX782" s="2"/>
      <c r="WYY782" s="2"/>
      <c r="WYZ782" s="2"/>
      <c r="WZA782" s="2"/>
      <c r="WZB782" s="2"/>
      <c r="WZC782" s="2"/>
      <c r="WZD782" s="2"/>
      <c r="WZE782" s="2"/>
      <c r="WZF782" s="2"/>
      <c r="WZG782" s="2"/>
      <c r="WZH782" s="2"/>
      <c r="WZI782" s="2"/>
      <c r="WZJ782" s="2"/>
      <c r="WZK782" s="2"/>
      <c r="WZL782" s="2"/>
      <c r="WZM782" s="2"/>
      <c r="WZN782" s="2"/>
      <c r="WZO782" s="2"/>
      <c r="WZP782" s="2"/>
      <c r="WZQ782" s="2"/>
      <c r="WZR782" s="2"/>
      <c r="WZS782" s="2"/>
      <c r="WZT782" s="2"/>
      <c r="WZU782" s="2"/>
      <c r="WZV782" s="2"/>
      <c r="WZW782" s="2"/>
      <c r="WZX782" s="2"/>
      <c r="WZY782" s="2"/>
      <c r="WZZ782" s="2"/>
      <c r="XAA782" s="2"/>
      <c r="XAB782" s="2"/>
      <c r="XAC782" s="2"/>
      <c r="XAD782" s="2"/>
      <c r="XAE782" s="2"/>
      <c r="XAF782" s="2"/>
      <c r="XAG782" s="2"/>
      <c r="XAH782" s="2"/>
      <c r="XAI782" s="2"/>
      <c r="XAJ782" s="2"/>
      <c r="XAK782" s="2"/>
      <c r="XAL782" s="2"/>
      <c r="XAM782" s="2"/>
      <c r="XAN782" s="2"/>
      <c r="XAO782" s="2"/>
      <c r="XAP782" s="2"/>
      <c r="XAQ782" s="2"/>
      <c r="XAR782" s="2"/>
      <c r="XAS782" s="2"/>
      <c r="XAT782" s="2"/>
      <c r="XAU782" s="2"/>
      <c r="XAV782" s="2"/>
      <c r="XAW782" s="2"/>
      <c r="XAX782" s="2"/>
      <c r="XAY782" s="2"/>
      <c r="XAZ782" s="2"/>
      <c r="XBA782" s="2"/>
      <c r="XBB782" s="2"/>
      <c r="XBC782" s="2"/>
      <c r="XBD782" s="2"/>
      <c r="XBE782" s="2"/>
      <c r="XBF782" s="2"/>
      <c r="XBG782" s="2"/>
      <c r="XBH782" s="2"/>
      <c r="XBI782" s="2"/>
      <c r="XBJ782" s="2"/>
      <c r="XBK782" s="2"/>
      <c r="XBL782" s="2"/>
      <c r="XBM782" s="2"/>
      <c r="XBN782" s="2"/>
      <c r="XBO782" s="2"/>
      <c r="XBP782" s="2"/>
      <c r="XBQ782" s="2"/>
      <c r="XBR782" s="2"/>
      <c r="XBS782" s="2"/>
      <c r="XBT782" s="2"/>
      <c r="XBU782" s="2"/>
      <c r="XBV782" s="2"/>
      <c r="XBW782" s="2"/>
      <c r="XBX782" s="2"/>
      <c r="XBY782" s="2"/>
      <c r="XBZ782" s="2"/>
      <c r="XCA782" s="2"/>
      <c r="XCB782" s="2"/>
      <c r="XCC782" s="2"/>
      <c r="XCD782" s="2"/>
      <c r="XCE782" s="2"/>
      <c r="XCF782" s="2"/>
      <c r="XCG782" s="2"/>
      <c r="XCH782" s="2"/>
      <c r="XCI782" s="2"/>
      <c r="XCJ782" s="2"/>
      <c r="XCK782" s="2"/>
      <c r="XCL782" s="2"/>
      <c r="XCM782" s="2"/>
      <c r="XCN782" s="2"/>
      <c r="XCO782" s="2"/>
      <c r="XCP782" s="2"/>
      <c r="XCQ782" s="2"/>
      <c r="XCR782" s="2"/>
      <c r="XCS782" s="2"/>
      <c r="XCT782" s="2"/>
      <c r="XCU782" s="2"/>
      <c r="XCV782" s="2"/>
      <c r="XCW782" s="2"/>
      <c r="XCX782" s="2"/>
      <c r="XCY782" s="2"/>
      <c r="XCZ782" s="2"/>
      <c r="XDA782" s="2"/>
      <c r="XDB782" s="2"/>
      <c r="XDC782" s="2"/>
      <c r="XDD782" s="2"/>
      <c r="XDE782" s="2"/>
      <c r="XDF782" s="2"/>
      <c r="XDG782" s="2"/>
      <c r="XDH782" s="2"/>
      <c r="XDI782" s="2"/>
      <c r="XDJ782" s="2"/>
      <c r="XDK782" s="2"/>
      <c r="XDL782" s="2"/>
      <c r="XDM782" s="2"/>
      <c r="XDN782" s="2"/>
      <c r="XDO782" s="2"/>
      <c r="XDP782" s="2"/>
      <c r="XDQ782" s="2"/>
      <c r="XDR782" s="2"/>
      <c r="XDS782" s="2"/>
      <c r="XDT782" s="2"/>
      <c r="XDU782" s="2"/>
      <c r="XDV782" s="2"/>
      <c r="XDW782" s="2"/>
      <c r="XDX782" s="2"/>
      <c r="XDY782" s="2"/>
      <c r="XDZ782" s="2"/>
      <c r="XEA782" s="2"/>
      <c r="XEB782" s="2"/>
      <c r="XEC782" s="2"/>
      <c r="XED782" s="2"/>
      <c r="XEE782" s="2"/>
      <c r="XEF782" s="2"/>
      <c r="XEG782" s="2"/>
      <c r="XEH782" s="2"/>
      <c r="XEI782" s="2"/>
      <c r="XEJ782" s="2"/>
      <c r="XEK782" s="2"/>
      <c r="XEL782" s="2"/>
      <c r="XEM782" s="2"/>
      <c r="XEN782" s="2"/>
      <c r="XEO782" s="2"/>
      <c r="XEP782" s="2"/>
      <c r="XEQ782" s="2"/>
      <c r="XER782" s="2"/>
      <c r="XES782" s="2"/>
      <c r="XET782" s="2"/>
      <c r="XEU782" s="2"/>
      <c r="XEV782" s="2"/>
      <c r="XEW782" s="2"/>
      <c r="XEX782" s="2"/>
      <c r="XEY782" s="2"/>
      <c r="XEZ782" s="2"/>
      <c r="XFA782" s="2"/>
      <c r="XFB782" s="2"/>
      <c r="XFC782" s="2"/>
      <c r="XFD782" s="2"/>
    </row>
    <row r="783" spans="1:5 16142:16384" x14ac:dyDescent="0.3">
      <c r="A783" s="19"/>
      <c r="C783" s="19"/>
      <c r="D783" s="1413"/>
      <c r="WVV783" s="2"/>
      <c r="WVW783" s="2"/>
      <c r="WVX783" s="2"/>
      <c r="WVY783" s="2"/>
      <c r="WVZ783" s="2"/>
      <c r="WWA783" s="2"/>
      <c r="WWB783" s="2"/>
      <c r="WWC783" s="2"/>
      <c r="WWD783" s="2"/>
      <c r="WWE783" s="2"/>
      <c r="WWF783" s="2"/>
      <c r="WWG783" s="2"/>
      <c r="WWH783" s="2"/>
      <c r="WWI783" s="2"/>
      <c r="WWJ783" s="2"/>
      <c r="WWK783" s="2"/>
      <c r="WWL783" s="2"/>
      <c r="WWM783" s="2"/>
      <c r="WWN783" s="2"/>
      <c r="WWO783" s="2"/>
      <c r="WWP783" s="2"/>
      <c r="WWQ783" s="2"/>
      <c r="WWR783" s="2"/>
      <c r="WWS783" s="2"/>
      <c r="WWT783" s="2"/>
      <c r="WWU783" s="2"/>
      <c r="WWV783" s="2"/>
      <c r="WWW783" s="2"/>
      <c r="WWX783" s="2"/>
      <c r="WWY783" s="2"/>
      <c r="WWZ783" s="2"/>
      <c r="WXA783" s="2"/>
      <c r="WXB783" s="2"/>
      <c r="WXC783" s="2"/>
      <c r="WXD783" s="2"/>
      <c r="WXE783" s="2"/>
      <c r="WXF783" s="2"/>
      <c r="WXG783" s="2"/>
      <c r="WXH783" s="2"/>
      <c r="WXI783" s="2"/>
      <c r="WXJ783" s="2"/>
      <c r="WXK783" s="2"/>
      <c r="WXL783" s="2"/>
      <c r="WXM783" s="2"/>
      <c r="WXN783" s="2"/>
      <c r="WXO783" s="2"/>
      <c r="WXP783" s="2"/>
      <c r="WXQ783" s="2"/>
      <c r="WXR783" s="2"/>
      <c r="WXS783" s="2"/>
      <c r="WXT783" s="2"/>
      <c r="WXU783" s="2"/>
      <c r="WXV783" s="2"/>
      <c r="WXW783" s="2"/>
      <c r="WXX783" s="2"/>
      <c r="WXY783" s="2"/>
      <c r="WXZ783" s="2"/>
      <c r="WYA783" s="2"/>
      <c r="WYB783" s="2"/>
      <c r="WYC783" s="2"/>
      <c r="WYD783" s="2"/>
      <c r="WYE783" s="2"/>
      <c r="WYF783" s="2"/>
      <c r="WYG783" s="2"/>
      <c r="WYH783" s="2"/>
      <c r="WYI783" s="2"/>
      <c r="WYJ783" s="2"/>
      <c r="WYK783" s="2"/>
      <c r="WYL783" s="2"/>
      <c r="WYM783" s="2"/>
      <c r="WYN783" s="2"/>
      <c r="WYO783" s="2"/>
      <c r="WYP783" s="2"/>
      <c r="WYQ783" s="2"/>
      <c r="WYR783" s="2"/>
      <c r="WYS783" s="2"/>
      <c r="WYT783" s="2"/>
      <c r="WYU783" s="2"/>
      <c r="WYV783" s="2"/>
      <c r="WYW783" s="2"/>
      <c r="WYX783" s="2"/>
      <c r="WYY783" s="2"/>
      <c r="WYZ783" s="2"/>
      <c r="WZA783" s="2"/>
      <c r="WZB783" s="2"/>
      <c r="WZC783" s="2"/>
      <c r="WZD783" s="2"/>
      <c r="WZE783" s="2"/>
      <c r="WZF783" s="2"/>
      <c r="WZG783" s="2"/>
      <c r="WZH783" s="2"/>
      <c r="WZI783" s="2"/>
      <c r="WZJ783" s="2"/>
      <c r="WZK783" s="2"/>
      <c r="WZL783" s="2"/>
      <c r="WZM783" s="2"/>
      <c r="WZN783" s="2"/>
      <c r="WZO783" s="2"/>
      <c r="WZP783" s="2"/>
      <c r="WZQ783" s="2"/>
      <c r="WZR783" s="2"/>
      <c r="WZS783" s="2"/>
      <c r="WZT783" s="2"/>
      <c r="WZU783" s="2"/>
      <c r="WZV783" s="2"/>
      <c r="WZW783" s="2"/>
      <c r="WZX783" s="2"/>
      <c r="WZY783" s="2"/>
      <c r="WZZ783" s="2"/>
      <c r="XAA783" s="2"/>
      <c r="XAB783" s="2"/>
      <c r="XAC783" s="2"/>
      <c r="XAD783" s="2"/>
      <c r="XAE783" s="2"/>
      <c r="XAF783" s="2"/>
      <c r="XAG783" s="2"/>
      <c r="XAH783" s="2"/>
      <c r="XAI783" s="2"/>
      <c r="XAJ783" s="2"/>
      <c r="XAK783" s="2"/>
      <c r="XAL783" s="2"/>
      <c r="XAM783" s="2"/>
      <c r="XAN783" s="2"/>
      <c r="XAO783" s="2"/>
      <c r="XAP783" s="2"/>
      <c r="XAQ783" s="2"/>
      <c r="XAR783" s="2"/>
      <c r="XAS783" s="2"/>
      <c r="XAT783" s="2"/>
      <c r="XAU783" s="2"/>
      <c r="XAV783" s="2"/>
      <c r="XAW783" s="2"/>
      <c r="XAX783" s="2"/>
      <c r="XAY783" s="2"/>
      <c r="XAZ783" s="2"/>
      <c r="XBA783" s="2"/>
      <c r="XBB783" s="2"/>
      <c r="XBC783" s="2"/>
      <c r="XBD783" s="2"/>
      <c r="XBE783" s="2"/>
      <c r="XBF783" s="2"/>
      <c r="XBG783" s="2"/>
      <c r="XBH783" s="2"/>
      <c r="XBI783" s="2"/>
      <c r="XBJ783" s="2"/>
      <c r="XBK783" s="2"/>
      <c r="XBL783" s="2"/>
      <c r="XBM783" s="2"/>
      <c r="XBN783" s="2"/>
      <c r="XBO783" s="2"/>
      <c r="XBP783" s="2"/>
      <c r="XBQ783" s="2"/>
      <c r="XBR783" s="2"/>
      <c r="XBS783" s="2"/>
      <c r="XBT783" s="2"/>
      <c r="XBU783" s="2"/>
      <c r="XBV783" s="2"/>
      <c r="XBW783" s="2"/>
      <c r="XBX783" s="2"/>
      <c r="XBY783" s="2"/>
      <c r="XBZ783" s="2"/>
      <c r="XCA783" s="2"/>
      <c r="XCB783" s="2"/>
      <c r="XCC783" s="2"/>
      <c r="XCD783" s="2"/>
      <c r="XCE783" s="2"/>
      <c r="XCF783" s="2"/>
      <c r="XCG783" s="2"/>
      <c r="XCH783" s="2"/>
      <c r="XCI783" s="2"/>
      <c r="XCJ783" s="2"/>
      <c r="XCK783" s="2"/>
      <c r="XCL783" s="2"/>
      <c r="XCM783" s="2"/>
      <c r="XCN783" s="2"/>
      <c r="XCO783" s="2"/>
      <c r="XCP783" s="2"/>
      <c r="XCQ783" s="2"/>
      <c r="XCR783" s="2"/>
      <c r="XCS783" s="2"/>
      <c r="XCT783" s="2"/>
      <c r="XCU783" s="2"/>
      <c r="XCV783" s="2"/>
      <c r="XCW783" s="2"/>
      <c r="XCX783" s="2"/>
      <c r="XCY783" s="2"/>
      <c r="XCZ783" s="2"/>
      <c r="XDA783" s="2"/>
      <c r="XDB783" s="2"/>
      <c r="XDC783" s="2"/>
      <c r="XDD783" s="2"/>
      <c r="XDE783" s="2"/>
      <c r="XDF783" s="2"/>
      <c r="XDG783" s="2"/>
      <c r="XDH783" s="2"/>
      <c r="XDI783" s="2"/>
      <c r="XDJ783" s="2"/>
      <c r="XDK783" s="2"/>
      <c r="XDL783" s="2"/>
      <c r="XDM783" s="2"/>
      <c r="XDN783" s="2"/>
      <c r="XDO783" s="2"/>
      <c r="XDP783" s="2"/>
      <c r="XDQ783" s="2"/>
      <c r="XDR783" s="2"/>
      <c r="XDS783" s="2"/>
      <c r="XDT783" s="2"/>
      <c r="XDU783" s="2"/>
      <c r="XDV783" s="2"/>
      <c r="XDW783" s="2"/>
      <c r="XDX783" s="2"/>
      <c r="XDY783" s="2"/>
      <c r="XDZ783" s="2"/>
      <c r="XEA783" s="2"/>
      <c r="XEB783" s="2"/>
      <c r="XEC783" s="2"/>
      <c r="XED783" s="2"/>
      <c r="XEE783" s="2"/>
      <c r="XEF783" s="2"/>
      <c r="XEG783" s="2"/>
      <c r="XEH783" s="2"/>
      <c r="XEI783" s="2"/>
      <c r="XEJ783" s="2"/>
      <c r="XEK783" s="2"/>
      <c r="XEL783" s="2"/>
      <c r="XEM783" s="2"/>
      <c r="XEN783" s="2"/>
      <c r="XEO783" s="2"/>
      <c r="XEP783" s="2"/>
      <c r="XEQ783" s="2"/>
      <c r="XER783" s="2"/>
      <c r="XES783" s="2"/>
      <c r="XET783" s="2"/>
      <c r="XEU783" s="2"/>
      <c r="XEV783" s="2"/>
      <c r="XEW783" s="2"/>
      <c r="XEX783" s="2"/>
      <c r="XEY783" s="2"/>
      <c r="XEZ783" s="2"/>
      <c r="XFA783" s="2"/>
      <c r="XFB783" s="2"/>
      <c r="XFC783" s="2"/>
      <c r="XFD783" s="2"/>
    </row>
    <row r="798" spans="3:5" s="19" customFormat="1" x14ac:dyDescent="0.3">
      <c r="C798" s="50"/>
      <c r="D798" s="569"/>
      <c r="E798" s="2"/>
    </row>
    <row r="799" spans="3:5" s="19" customFormat="1" x14ac:dyDescent="0.3">
      <c r="C799" s="50"/>
      <c r="D799" s="569"/>
      <c r="E799" s="2"/>
    </row>
    <row r="801" spans="2:256" s="19" customFormat="1" ht="17.25" x14ac:dyDescent="0.35">
      <c r="B801" s="64"/>
      <c r="C801" s="1405"/>
      <c r="D801" s="569"/>
      <c r="E801" s="953"/>
      <c r="F801" s="64"/>
      <c r="G801" s="64"/>
      <c r="H801" s="64"/>
      <c r="I801" s="64"/>
      <c r="J801" s="64"/>
      <c r="K801" s="64"/>
      <c r="L801" s="64"/>
      <c r="M801" s="64"/>
      <c r="N801" s="64"/>
      <c r="O801" s="64"/>
      <c r="P801" s="64"/>
      <c r="Q801" s="64"/>
      <c r="R801" s="64"/>
      <c r="S801" s="64"/>
      <c r="T801" s="64"/>
      <c r="U801" s="64"/>
      <c r="V801" s="64"/>
      <c r="W801" s="64"/>
      <c r="X801" s="64"/>
      <c r="Y801" s="64"/>
      <c r="Z801" s="64"/>
      <c r="AA801" s="64"/>
      <c r="AB801" s="64"/>
      <c r="AC801" s="64"/>
      <c r="AD801" s="64"/>
      <c r="AE801" s="64"/>
      <c r="AF801" s="64"/>
      <c r="AG801" s="64"/>
      <c r="AH801" s="64"/>
      <c r="AI801" s="64"/>
      <c r="AJ801" s="64"/>
      <c r="AK801" s="64"/>
      <c r="AL801" s="64"/>
      <c r="AM801" s="64"/>
      <c r="AN801" s="64"/>
      <c r="AO801" s="64"/>
      <c r="AP801" s="64"/>
      <c r="AQ801" s="64"/>
      <c r="AR801" s="64"/>
      <c r="AS801" s="64"/>
      <c r="AT801" s="64"/>
      <c r="AU801" s="64"/>
      <c r="AV801" s="64"/>
      <c r="AW801" s="64"/>
      <c r="AX801" s="64"/>
      <c r="AY801" s="64"/>
      <c r="AZ801" s="64"/>
      <c r="BA801" s="64"/>
      <c r="BB801" s="64"/>
      <c r="BC801" s="64"/>
      <c r="BD801" s="64"/>
      <c r="BE801" s="64"/>
      <c r="BF801" s="64"/>
      <c r="BG801" s="64"/>
      <c r="BH801" s="64"/>
      <c r="BI801" s="64"/>
      <c r="BJ801" s="64"/>
      <c r="BK801" s="64"/>
      <c r="BL801" s="64"/>
      <c r="BM801" s="64"/>
      <c r="BN801" s="64"/>
      <c r="BO801" s="64"/>
      <c r="BP801" s="64"/>
      <c r="BQ801" s="64"/>
      <c r="BR801" s="64"/>
      <c r="BS801" s="64"/>
      <c r="BT801" s="64"/>
      <c r="BU801" s="64"/>
      <c r="BV801" s="64"/>
      <c r="BW801" s="64"/>
      <c r="BX801" s="64"/>
      <c r="BY801" s="64"/>
      <c r="BZ801" s="64"/>
      <c r="CA801" s="64"/>
      <c r="CB801" s="64"/>
      <c r="CC801" s="64"/>
      <c r="CD801" s="64"/>
      <c r="CE801" s="64"/>
      <c r="CF801" s="64"/>
      <c r="CG801" s="64"/>
      <c r="CH801" s="64"/>
      <c r="CI801" s="64"/>
      <c r="CJ801" s="64"/>
      <c r="CK801" s="64"/>
      <c r="CL801" s="64"/>
      <c r="CM801" s="64"/>
      <c r="CN801" s="64"/>
      <c r="CO801" s="64"/>
      <c r="CP801" s="64"/>
      <c r="CQ801" s="64"/>
      <c r="CR801" s="64"/>
      <c r="CS801" s="64"/>
      <c r="CT801" s="64"/>
      <c r="CU801" s="64"/>
      <c r="CV801" s="64"/>
      <c r="CW801" s="64"/>
      <c r="CX801" s="64"/>
      <c r="CY801" s="64"/>
      <c r="CZ801" s="64"/>
      <c r="DA801" s="64"/>
      <c r="DB801" s="64"/>
      <c r="DC801" s="64"/>
      <c r="DD801" s="64"/>
      <c r="DE801" s="64"/>
      <c r="DF801" s="64"/>
      <c r="DG801" s="64"/>
      <c r="DH801" s="64"/>
      <c r="DI801" s="64"/>
      <c r="DJ801" s="64"/>
      <c r="DK801" s="64"/>
      <c r="DL801" s="64"/>
      <c r="DM801" s="64"/>
      <c r="DN801" s="64"/>
      <c r="DO801" s="64"/>
      <c r="DP801" s="64"/>
      <c r="DQ801" s="64"/>
      <c r="DR801" s="64"/>
      <c r="DS801" s="64"/>
      <c r="DT801" s="64"/>
      <c r="DU801" s="64"/>
      <c r="DV801" s="64"/>
      <c r="DW801" s="64"/>
      <c r="DX801" s="64"/>
      <c r="DY801" s="64"/>
      <c r="DZ801" s="64"/>
      <c r="EA801" s="64"/>
      <c r="EB801" s="64"/>
      <c r="EC801" s="64"/>
      <c r="ED801" s="64"/>
      <c r="EE801" s="64"/>
      <c r="EF801" s="64"/>
      <c r="EG801" s="64"/>
      <c r="EH801" s="64"/>
      <c r="EI801" s="64"/>
      <c r="EJ801" s="64"/>
      <c r="EK801" s="64"/>
      <c r="EL801" s="64"/>
      <c r="EM801" s="64"/>
      <c r="EN801" s="64"/>
      <c r="EO801" s="64"/>
      <c r="EP801" s="64"/>
      <c r="EQ801" s="64"/>
      <c r="ER801" s="64"/>
      <c r="ES801" s="64"/>
      <c r="ET801" s="64"/>
      <c r="EU801" s="64"/>
      <c r="EV801" s="64"/>
      <c r="EW801" s="64"/>
      <c r="EX801" s="64"/>
      <c r="EY801" s="64"/>
      <c r="EZ801" s="64"/>
      <c r="FA801" s="64"/>
      <c r="FB801" s="64"/>
      <c r="FC801" s="64"/>
      <c r="FD801" s="64"/>
      <c r="FE801" s="64"/>
      <c r="FF801" s="64"/>
      <c r="FG801" s="64"/>
      <c r="FH801" s="64"/>
      <c r="FI801" s="64"/>
      <c r="FJ801" s="64"/>
      <c r="FK801" s="64"/>
      <c r="FL801" s="64"/>
      <c r="FM801" s="64"/>
      <c r="FN801" s="64"/>
      <c r="FO801" s="64"/>
      <c r="FP801" s="64"/>
      <c r="FQ801" s="64"/>
      <c r="FR801" s="64"/>
      <c r="FS801" s="64"/>
      <c r="FT801" s="64"/>
      <c r="FU801" s="64"/>
      <c r="FV801" s="64"/>
      <c r="FW801" s="64"/>
      <c r="FX801" s="64"/>
      <c r="FY801" s="64"/>
      <c r="FZ801" s="64"/>
      <c r="GA801" s="64"/>
      <c r="GB801" s="64"/>
      <c r="GC801" s="64"/>
      <c r="GD801" s="64"/>
      <c r="GE801" s="64"/>
      <c r="GF801" s="64"/>
      <c r="GG801" s="64"/>
      <c r="GH801" s="64"/>
      <c r="GI801" s="64"/>
      <c r="GJ801" s="64"/>
      <c r="GK801" s="64"/>
      <c r="GL801" s="64"/>
      <c r="GM801" s="64"/>
      <c r="GN801" s="64"/>
      <c r="GO801" s="64"/>
      <c r="GP801" s="64"/>
      <c r="GQ801" s="64"/>
      <c r="GR801" s="64"/>
      <c r="GS801" s="64"/>
      <c r="GT801" s="64"/>
      <c r="GU801" s="64"/>
      <c r="GV801" s="64"/>
      <c r="GW801" s="64"/>
      <c r="GX801" s="64"/>
      <c r="GY801" s="64"/>
      <c r="GZ801" s="64"/>
      <c r="HA801" s="64"/>
      <c r="HB801" s="64"/>
      <c r="HC801" s="64"/>
      <c r="HD801" s="64"/>
      <c r="HE801" s="64"/>
      <c r="HF801" s="64"/>
      <c r="HG801" s="64"/>
      <c r="HH801" s="64"/>
      <c r="HI801" s="64"/>
      <c r="HJ801" s="64"/>
      <c r="HK801" s="64"/>
      <c r="HL801" s="64"/>
      <c r="HM801" s="64"/>
      <c r="HN801" s="64"/>
      <c r="HO801" s="64"/>
      <c r="HP801" s="64"/>
      <c r="HQ801" s="64"/>
      <c r="HR801" s="64"/>
      <c r="HS801" s="64"/>
      <c r="HT801" s="64"/>
      <c r="HU801" s="64"/>
      <c r="HV801" s="64"/>
      <c r="HW801" s="64"/>
      <c r="HX801" s="64"/>
      <c r="HY801" s="64"/>
      <c r="HZ801" s="64"/>
      <c r="IA801" s="64"/>
      <c r="IB801" s="64"/>
      <c r="IC801" s="64"/>
      <c r="ID801" s="64"/>
      <c r="IE801" s="64"/>
      <c r="IF801" s="64"/>
      <c r="IG801" s="64"/>
      <c r="IH801" s="64"/>
      <c r="II801" s="64"/>
      <c r="IJ801" s="64"/>
      <c r="IK801" s="64"/>
      <c r="IL801" s="64"/>
      <c r="IM801" s="64"/>
      <c r="IN801" s="64"/>
      <c r="IO801" s="64"/>
      <c r="IP801" s="64"/>
      <c r="IQ801" s="64"/>
      <c r="IR801" s="64"/>
      <c r="IS801" s="64"/>
      <c r="IT801" s="64"/>
      <c r="IU801" s="64"/>
      <c r="IV801" s="64"/>
    </row>
    <row r="802" spans="2:256" s="19" customFormat="1" ht="17.25" x14ac:dyDescent="0.35">
      <c r="C802" s="50"/>
      <c r="D802" s="1406"/>
      <c r="E802" s="2"/>
    </row>
  </sheetData>
  <mergeCells count="4">
    <mergeCell ref="B1:E1"/>
    <mergeCell ref="B3:E3"/>
    <mergeCell ref="B4:E4"/>
    <mergeCell ref="B6:E6"/>
  </mergeCells>
  <printOptions horizontalCentered="1"/>
  <pageMargins left="0.70833333333333304" right="0.70833333333333304" top="0.74791666666666701" bottom="0.74791666666666701" header="0.511811023622047" footer="0.31527777777777799"/>
  <pageSetup paperSize="9" scale="78" orientation="portrait" verticalDpi="300" r:id="rId1"/>
  <headerFooter>
    <oddFooter>&amp;C- &amp;P -</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theme="3" tint="0.39997558519241921"/>
  </sheetPr>
  <dimension ref="A1:M69"/>
  <sheetViews>
    <sheetView tabSelected="1" view="pageBreakPreview" zoomScaleNormal="100" zoomScaleSheetLayoutView="100" workbookViewId="0">
      <selection activeCell="B4" sqref="B4:J4"/>
    </sheetView>
  </sheetViews>
  <sheetFormatPr defaultColWidth="31.28515625" defaultRowHeight="17.25" x14ac:dyDescent="0.3"/>
  <cols>
    <col min="1" max="1" width="3.7109375" style="53" customWidth="1"/>
    <col min="2" max="5" width="5.7109375" style="3" customWidth="1"/>
    <col min="6" max="6" width="50.28515625" style="14" customWidth="1"/>
    <col min="7" max="8" width="15.7109375" style="136" customWidth="1"/>
    <col min="9" max="9" width="15.7109375" style="280" customWidth="1"/>
    <col min="10" max="10" width="15.7109375" style="136" customWidth="1"/>
    <col min="11" max="11" width="12.28515625" style="1" customWidth="1"/>
    <col min="12" max="12" width="12.7109375" style="1" customWidth="1"/>
    <col min="13" max="16384" width="31.28515625" style="1"/>
  </cols>
  <sheetData>
    <row r="1" spans="1:13" ht="17.25" customHeight="1" x14ac:dyDescent="0.3">
      <c r="B1" s="2051" t="s">
        <v>1126</v>
      </c>
      <c r="C1" s="2051"/>
      <c r="D1" s="2051"/>
      <c r="E1" s="2051"/>
      <c r="F1" s="2051"/>
      <c r="G1" s="2051"/>
      <c r="H1" s="2051"/>
      <c r="I1" s="2051"/>
      <c r="J1" s="2051"/>
      <c r="K1" s="2051"/>
      <c r="L1" s="2051"/>
      <c r="M1" s="2051"/>
    </row>
    <row r="2" spans="1:13" x14ac:dyDescent="0.3">
      <c r="A2" s="63"/>
      <c r="B2" s="2052" t="s">
        <v>876</v>
      </c>
      <c r="C2" s="2052"/>
      <c r="D2" s="2052"/>
      <c r="E2" s="2052"/>
      <c r="F2" s="2052"/>
      <c r="G2" s="2052"/>
      <c r="H2" s="1687"/>
      <c r="I2" s="1688"/>
    </row>
    <row r="3" spans="1:13" ht="25.15" customHeight="1" x14ac:dyDescent="0.3">
      <c r="A3" s="63"/>
      <c r="B3" s="1840" t="s">
        <v>94</v>
      </c>
      <c r="C3" s="1840"/>
      <c r="D3" s="1840"/>
      <c r="E3" s="1840"/>
      <c r="F3" s="1840"/>
      <c r="G3" s="1840"/>
      <c r="H3" s="1840"/>
      <c r="I3" s="1840"/>
      <c r="J3" s="1840"/>
    </row>
    <row r="4" spans="1:13" ht="25.15" customHeight="1" x14ac:dyDescent="0.3">
      <c r="A4" s="63"/>
      <c r="B4" s="1840" t="s">
        <v>877</v>
      </c>
      <c r="C4" s="1840"/>
      <c r="D4" s="1840"/>
      <c r="E4" s="1840"/>
      <c r="F4" s="1840"/>
      <c r="G4" s="1840"/>
      <c r="H4" s="1840"/>
      <c r="I4" s="1840"/>
      <c r="J4" s="1840"/>
    </row>
    <row r="5" spans="1:13" ht="18" customHeight="1" x14ac:dyDescent="0.3">
      <c r="A5" s="63"/>
      <c r="B5" s="1685"/>
      <c r="C5" s="1685"/>
      <c r="D5" s="1685"/>
      <c r="E5" s="1685"/>
      <c r="F5" s="1685"/>
      <c r="G5" s="1686"/>
      <c r="H5" s="1686"/>
      <c r="I5" s="1689"/>
      <c r="J5" s="180" t="s">
        <v>0</v>
      </c>
    </row>
    <row r="6" spans="1:13" s="55" customFormat="1" ht="18" customHeight="1" thickBot="1" x14ac:dyDescent="0.35">
      <c r="A6" s="53"/>
      <c r="B6" s="52" t="s">
        <v>1</v>
      </c>
      <c r="C6" s="52" t="s">
        <v>3</v>
      </c>
      <c r="D6" s="52" t="s">
        <v>2</v>
      </c>
      <c r="E6" s="52" t="s">
        <v>4</v>
      </c>
      <c r="F6" s="54" t="s">
        <v>5</v>
      </c>
      <c r="G6" s="279" t="s">
        <v>15</v>
      </c>
      <c r="H6" s="279" t="s">
        <v>16</v>
      </c>
      <c r="I6" s="279" t="s">
        <v>17</v>
      </c>
      <c r="J6" s="279" t="s">
        <v>32</v>
      </c>
    </row>
    <row r="7" spans="1:13" ht="72" customHeight="1" thickBot="1" x14ac:dyDescent="0.35">
      <c r="B7" s="1690" t="s">
        <v>18</v>
      </c>
      <c r="C7" s="1691" t="s">
        <v>19</v>
      </c>
      <c r="D7" s="1692" t="s">
        <v>314</v>
      </c>
      <c r="E7" s="1692" t="s">
        <v>315</v>
      </c>
      <c r="F7" s="1693" t="s">
        <v>6</v>
      </c>
      <c r="G7" s="1694" t="s">
        <v>577</v>
      </c>
      <c r="H7" s="1694" t="s">
        <v>806</v>
      </c>
      <c r="I7" s="1695" t="s">
        <v>95</v>
      </c>
      <c r="J7" s="1696" t="s">
        <v>856</v>
      </c>
    </row>
    <row r="8" spans="1:13" s="19" customFormat="1" ht="21.75" customHeight="1" x14ac:dyDescent="0.35">
      <c r="A8" s="52">
        <v>1</v>
      </c>
      <c r="B8" s="2079" t="s">
        <v>738</v>
      </c>
      <c r="C8" s="2080"/>
      <c r="D8" s="2080"/>
      <c r="E8" s="2080"/>
      <c r="F8" s="2080"/>
      <c r="G8" s="2080"/>
      <c r="H8" s="2080"/>
      <c r="I8" s="2080"/>
      <c r="J8" s="2081"/>
    </row>
    <row r="9" spans="1:13" s="19" customFormat="1" ht="22.5" customHeight="1" x14ac:dyDescent="0.35">
      <c r="A9" s="52">
        <v>2</v>
      </c>
      <c r="B9" s="1697"/>
      <c r="C9" s="1698"/>
      <c r="D9" s="1699">
        <v>1</v>
      </c>
      <c r="E9" s="1699">
        <v>2</v>
      </c>
      <c r="F9" s="1700" t="s">
        <v>139</v>
      </c>
      <c r="G9" s="1701"/>
      <c r="H9" s="1701"/>
      <c r="I9" s="1702"/>
      <c r="J9" s="1703"/>
    </row>
    <row r="10" spans="1:13" s="19" customFormat="1" x14ac:dyDescent="0.35">
      <c r="A10" s="52">
        <v>3</v>
      </c>
      <c r="B10" s="1697">
        <v>18</v>
      </c>
      <c r="C10" s="1698"/>
      <c r="D10" s="1698"/>
      <c r="E10" s="1698"/>
      <c r="F10" s="1704" t="s">
        <v>878</v>
      </c>
      <c r="G10" s="1701"/>
      <c r="H10" s="1701"/>
      <c r="I10" s="1702"/>
      <c r="J10" s="1703">
        <f>SUM(H10:I10)</f>
        <v>0</v>
      </c>
    </row>
    <row r="11" spans="1:13" s="19" customFormat="1" x14ac:dyDescent="0.35">
      <c r="A11" s="52">
        <v>3</v>
      </c>
      <c r="B11" s="1697">
        <v>18</v>
      </c>
      <c r="C11" s="1698"/>
      <c r="D11" s="1698"/>
      <c r="E11" s="1698"/>
      <c r="F11" s="1704" t="s">
        <v>395</v>
      </c>
      <c r="G11" s="1701"/>
      <c r="H11" s="1701">
        <v>6500</v>
      </c>
      <c r="I11" s="1702">
        <v>5000</v>
      </c>
      <c r="J11" s="1703">
        <f>SUM(H11:I11)</f>
        <v>11500</v>
      </c>
    </row>
    <row r="12" spans="1:13" s="19" customFormat="1" ht="22.5" customHeight="1" x14ac:dyDescent="0.35">
      <c r="A12" s="52">
        <v>4</v>
      </c>
      <c r="B12" s="1705"/>
      <c r="C12" s="1706"/>
      <c r="D12" s="1707">
        <v>1</v>
      </c>
      <c r="E12" s="1707">
        <v>8</v>
      </c>
      <c r="F12" s="1708" t="s">
        <v>879</v>
      </c>
      <c r="G12" s="1709"/>
      <c r="H12" s="1709"/>
      <c r="I12" s="1710"/>
      <c r="J12" s="1711"/>
    </row>
    <row r="13" spans="1:13" s="19" customFormat="1" ht="18" thickBot="1" x14ac:dyDescent="0.4">
      <c r="A13" s="52">
        <v>5</v>
      </c>
      <c r="B13" s="1705">
        <v>18</v>
      </c>
      <c r="C13" s="1706"/>
      <c r="D13" s="1706"/>
      <c r="E13" s="1706"/>
      <c r="F13" s="1712" t="s">
        <v>99</v>
      </c>
      <c r="G13" s="1709">
        <v>21912</v>
      </c>
      <c r="H13" s="1709">
        <v>21912</v>
      </c>
      <c r="I13" s="1710"/>
      <c r="J13" s="1711">
        <f>SUM(H13:I13)</f>
        <v>21912</v>
      </c>
    </row>
    <row r="14" spans="1:13" s="19" customFormat="1" ht="34.5" customHeight="1" thickTop="1" thickBot="1" x14ac:dyDescent="0.35">
      <c r="A14" s="52">
        <v>6</v>
      </c>
      <c r="B14" s="1713"/>
      <c r="C14" s="1714"/>
      <c r="D14" s="1714"/>
      <c r="E14" s="1714"/>
      <c r="F14" s="1715" t="s">
        <v>880</v>
      </c>
      <c r="G14" s="1716">
        <f>SUM(G11:G13)</f>
        <v>21912</v>
      </c>
      <c r="H14" s="1716">
        <f t="shared" ref="H14:J14" si="0">SUM(H11:H13)</f>
        <v>28412</v>
      </c>
      <c r="I14" s="1717">
        <f t="shared" si="0"/>
        <v>5000</v>
      </c>
      <c r="J14" s="1718">
        <f t="shared" si="0"/>
        <v>33412</v>
      </c>
    </row>
    <row r="15" spans="1:13" s="19" customFormat="1" ht="21.75" customHeight="1" x14ac:dyDescent="0.35">
      <c r="A15" s="52">
        <v>7</v>
      </c>
      <c r="B15" s="2079" t="s">
        <v>758</v>
      </c>
      <c r="C15" s="2080"/>
      <c r="D15" s="2080"/>
      <c r="E15" s="2080"/>
      <c r="F15" s="2080"/>
      <c r="G15" s="2080"/>
      <c r="H15" s="2080"/>
      <c r="I15" s="2080"/>
      <c r="J15" s="2081"/>
    </row>
    <row r="16" spans="1:13" s="19" customFormat="1" ht="22.5" customHeight="1" x14ac:dyDescent="0.35">
      <c r="A16" s="52">
        <v>8</v>
      </c>
      <c r="B16" s="1697"/>
      <c r="C16" s="1698"/>
      <c r="D16" s="1699">
        <v>1</v>
      </c>
      <c r="E16" s="1698"/>
      <c r="F16" s="1700" t="s">
        <v>35</v>
      </c>
      <c r="G16" s="1701"/>
      <c r="H16" s="1701"/>
      <c r="I16" s="1702"/>
      <c r="J16" s="1703"/>
    </row>
    <row r="17" spans="1:10" s="19" customFormat="1" x14ac:dyDescent="0.35">
      <c r="A17" s="52">
        <v>9</v>
      </c>
      <c r="B17" s="1705"/>
      <c r="C17" s="1706"/>
      <c r="D17" s="1706"/>
      <c r="E17" s="1706"/>
      <c r="F17" s="1719"/>
      <c r="G17" s="1709"/>
      <c r="H17" s="1709"/>
      <c r="I17" s="1710"/>
      <c r="J17" s="1711">
        <f t="shared" ref="J17" si="1">SUM(H17:I17)</f>
        <v>0</v>
      </c>
    </row>
    <row r="18" spans="1:10" s="19" customFormat="1" ht="22.5" customHeight="1" x14ac:dyDescent="0.35">
      <c r="A18" s="52">
        <v>12</v>
      </c>
      <c r="B18" s="1697"/>
      <c r="C18" s="1698"/>
      <c r="D18" s="1699">
        <v>1</v>
      </c>
      <c r="E18" s="1699">
        <v>6</v>
      </c>
      <c r="F18" s="1700" t="s">
        <v>303</v>
      </c>
      <c r="G18" s="1701"/>
      <c r="H18" s="1701"/>
      <c r="I18" s="1702"/>
      <c r="J18" s="1703"/>
    </row>
    <row r="19" spans="1:10" s="19" customFormat="1" x14ac:dyDescent="0.35">
      <c r="A19" s="52">
        <v>13</v>
      </c>
      <c r="B19" s="1705">
        <v>18</v>
      </c>
      <c r="C19" s="1706"/>
      <c r="D19" s="1706"/>
      <c r="E19" s="1706"/>
      <c r="F19" s="995" t="s">
        <v>881</v>
      </c>
      <c r="G19" s="1709">
        <v>21912</v>
      </c>
      <c r="H19" s="1709">
        <v>28412</v>
      </c>
      <c r="I19" s="1710">
        <f>-12000+5000</f>
        <v>-7000</v>
      </c>
      <c r="J19" s="1711">
        <f>SUM(H19:I19)</f>
        <v>21412</v>
      </c>
    </row>
    <row r="20" spans="1:10" s="19" customFormat="1" x14ac:dyDescent="0.35">
      <c r="A20" s="52">
        <v>14</v>
      </c>
      <c r="B20" s="1705"/>
      <c r="C20" s="1706"/>
      <c r="D20" s="1706"/>
      <c r="E20" s="1706"/>
      <c r="F20" s="1719"/>
      <c r="G20" s="1709"/>
      <c r="H20" s="1709"/>
      <c r="I20" s="1710"/>
      <c r="J20" s="1711">
        <f>SUM(H20:I20)</f>
        <v>0</v>
      </c>
    </row>
    <row r="21" spans="1:10" s="19" customFormat="1" ht="22.5" customHeight="1" x14ac:dyDescent="0.35">
      <c r="A21" s="52">
        <v>15</v>
      </c>
      <c r="B21" s="1697"/>
      <c r="C21" s="1698"/>
      <c r="D21" s="1699">
        <v>2</v>
      </c>
      <c r="E21" s="1698"/>
      <c r="F21" s="1700" t="s">
        <v>125</v>
      </c>
      <c r="G21" s="1701"/>
      <c r="H21" s="1701"/>
      <c r="I21" s="1702"/>
      <c r="J21" s="1703"/>
    </row>
    <row r="22" spans="1:10" s="19" customFormat="1" x14ac:dyDescent="0.35">
      <c r="A22" s="52">
        <v>16</v>
      </c>
      <c r="B22" s="1705"/>
      <c r="C22" s="1706"/>
      <c r="D22" s="1706"/>
      <c r="E22" s="1706"/>
      <c r="F22" s="995" t="s">
        <v>959</v>
      </c>
      <c r="G22" s="1709"/>
      <c r="H22" s="1709"/>
      <c r="I22" s="1710">
        <v>7000</v>
      </c>
      <c r="J22" s="1711">
        <f t="shared" ref="J22:J24" si="2">SUM(H22:I22)</f>
        <v>7000</v>
      </c>
    </row>
    <row r="23" spans="1:10" s="19" customFormat="1" x14ac:dyDescent="0.35">
      <c r="A23" s="52">
        <v>17</v>
      </c>
      <c r="B23" s="1705"/>
      <c r="C23" s="1706"/>
      <c r="D23" s="1706"/>
      <c r="E23" s="1706"/>
      <c r="F23" s="1837" t="s">
        <v>960</v>
      </c>
      <c r="G23" s="1709"/>
      <c r="H23" s="1709"/>
      <c r="I23" s="1710">
        <v>5000</v>
      </c>
      <c r="J23" s="1711">
        <f t="shared" si="2"/>
        <v>5000</v>
      </c>
    </row>
    <row r="24" spans="1:10" s="19" customFormat="1" ht="18" thickBot="1" x14ac:dyDescent="0.4">
      <c r="A24" s="52">
        <v>18</v>
      </c>
      <c r="B24" s="1705"/>
      <c r="C24" s="1706"/>
      <c r="D24" s="1706"/>
      <c r="E24" s="1706"/>
      <c r="F24" s="1719"/>
      <c r="G24" s="1709"/>
      <c r="H24" s="1709"/>
      <c r="I24" s="1710"/>
      <c r="J24" s="1711">
        <f t="shared" si="2"/>
        <v>0</v>
      </c>
    </row>
    <row r="25" spans="1:10" s="19" customFormat="1" ht="34.5" customHeight="1" thickTop="1" thickBot="1" x14ac:dyDescent="0.35">
      <c r="A25" s="52">
        <v>19</v>
      </c>
      <c r="B25" s="1713"/>
      <c r="C25" s="1714"/>
      <c r="D25" s="1714"/>
      <c r="E25" s="1714"/>
      <c r="F25" s="1715" t="s">
        <v>1145</v>
      </c>
      <c r="G25" s="1716">
        <f>SUM(G16:G24)</f>
        <v>21912</v>
      </c>
      <c r="H25" s="1716">
        <f>SUM(H16:H24)</f>
        <v>28412</v>
      </c>
      <c r="I25" s="1717">
        <f>SUM(I16:I24)</f>
        <v>5000</v>
      </c>
      <c r="J25" s="1718">
        <f>SUM(J16:J24)</f>
        <v>33412</v>
      </c>
    </row>
    <row r="30" spans="1:10" s="11" customFormat="1" x14ac:dyDescent="0.3">
      <c r="A30" s="92"/>
      <c r="B30" s="3"/>
      <c r="C30" s="3"/>
      <c r="D30" s="3"/>
      <c r="E30" s="3"/>
      <c r="F30" s="16"/>
      <c r="G30" s="974"/>
      <c r="H30" s="974"/>
      <c r="I30" s="1418"/>
      <c r="J30" s="974"/>
    </row>
    <row r="32" spans="1:10" s="11" customFormat="1" x14ac:dyDescent="0.3">
      <c r="A32" s="92"/>
      <c r="B32" s="3"/>
      <c r="C32" s="3"/>
      <c r="D32" s="3"/>
      <c r="E32" s="3"/>
      <c r="F32" s="16"/>
      <c r="G32" s="974"/>
      <c r="H32" s="974"/>
      <c r="I32" s="1418"/>
      <c r="J32" s="974"/>
    </row>
    <row r="35" spans="1:10" s="11" customFormat="1" x14ac:dyDescent="0.3">
      <c r="A35" s="92"/>
      <c r="B35" s="3"/>
      <c r="C35" s="3"/>
      <c r="D35" s="3"/>
      <c r="E35" s="3"/>
      <c r="F35" s="16"/>
      <c r="G35" s="974"/>
      <c r="H35" s="974"/>
      <c r="I35" s="1418"/>
      <c r="J35" s="974"/>
    </row>
    <row r="53" spans="1:13" s="11" customFormat="1" x14ac:dyDescent="0.3">
      <c r="A53" s="92"/>
      <c r="B53" s="3"/>
      <c r="C53" s="3"/>
      <c r="D53" s="3"/>
      <c r="E53" s="3"/>
      <c r="F53" s="16"/>
      <c r="G53" s="974"/>
      <c r="H53" s="974"/>
      <c r="I53" s="1418"/>
      <c r="J53" s="974"/>
    </row>
    <row r="62" spans="1:13" s="5" customFormat="1" x14ac:dyDescent="0.3">
      <c r="A62" s="53"/>
      <c r="B62" s="3"/>
      <c r="C62" s="3"/>
      <c r="D62" s="3"/>
      <c r="E62" s="3"/>
      <c r="F62" s="14"/>
      <c r="G62" s="356"/>
      <c r="H62" s="356"/>
      <c r="I62" s="280"/>
      <c r="J62" s="136"/>
      <c r="K62" s="1"/>
      <c r="L62" s="1"/>
      <c r="M62" s="1"/>
    </row>
    <row r="63" spans="1:13" s="5" customFormat="1" x14ac:dyDescent="0.3">
      <c r="A63" s="53"/>
      <c r="B63" s="3"/>
      <c r="C63" s="3"/>
      <c r="D63" s="3"/>
      <c r="E63" s="3"/>
      <c r="F63" s="14"/>
      <c r="G63" s="356"/>
      <c r="H63" s="356"/>
      <c r="I63" s="280"/>
      <c r="J63" s="136"/>
      <c r="K63" s="1"/>
      <c r="L63" s="1"/>
      <c r="M63" s="1"/>
    </row>
    <row r="64" spans="1:13" s="5" customFormat="1" x14ac:dyDescent="0.3">
      <c r="A64" s="53"/>
      <c r="B64" s="3"/>
      <c r="C64" s="3"/>
      <c r="D64" s="3"/>
      <c r="E64" s="3"/>
      <c r="F64" s="14"/>
      <c r="G64" s="356"/>
      <c r="H64" s="356"/>
      <c r="I64" s="280"/>
      <c r="J64" s="136"/>
      <c r="K64" s="1"/>
      <c r="L64" s="1"/>
      <c r="M64" s="1"/>
    </row>
    <row r="65" spans="1:13" s="5" customFormat="1" x14ac:dyDescent="0.3">
      <c r="A65" s="53"/>
      <c r="B65" s="3"/>
      <c r="C65" s="3"/>
      <c r="D65" s="3"/>
      <c r="E65" s="3"/>
      <c r="F65" s="14"/>
      <c r="G65" s="356"/>
      <c r="H65" s="356"/>
      <c r="I65" s="280"/>
      <c r="J65" s="136"/>
      <c r="K65" s="1"/>
      <c r="L65" s="1"/>
      <c r="M65" s="1"/>
    </row>
    <row r="66" spans="1:13" s="5" customFormat="1" x14ac:dyDescent="0.3">
      <c r="A66" s="53"/>
      <c r="B66" s="3"/>
      <c r="C66" s="3"/>
      <c r="D66" s="3"/>
      <c r="E66" s="3"/>
      <c r="F66" s="14"/>
      <c r="G66" s="356"/>
      <c r="H66" s="356"/>
      <c r="I66" s="280"/>
      <c r="J66" s="136"/>
      <c r="K66" s="1"/>
      <c r="L66" s="1"/>
      <c r="M66" s="1"/>
    </row>
    <row r="67" spans="1:13" s="5" customFormat="1" x14ac:dyDescent="0.3">
      <c r="A67" s="53"/>
      <c r="B67" s="3"/>
      <c r="C67" s="3"/>
      <c r="D67" s="3"/>
      <c r="E67" s="3"/>
      <c r="F67" s="14"/>
      <c r="G67" s="356"/>
      <c r="H67" s="356"/>
      <c r="I67" s="280"/>
      <c r="J67" s="136"/>
      <c r="K67" s="1"/>
      <c r="L67" s="1"/>
      <c r="M67" s="1"/>
    </row>
    <row r="68" spans="1:13" s="5" customFormat="1" x14ac:dyDescent="0.3">
      <c r="A68" s="53"/>
      <c r="B68" s="3"/>
      <c r="C68" s="3"/>
      <c r="D68" s="3"/>
      <c r="E68" s="3"/>
      <c r="F68" s="14"/>
      <c r="G68" s="356"/>
      <c r="H68" s="356"/>
      <c r="I68" s="280"/>
      <c r="J68" s="136"/>
      <c r="K68" s="1"/>
      <c r="L68" s="1"/>
      <c r="M68" s="1"/>
    </row>
    <row r="69" spans="1:13" s="5" customFormat="1" x14ac:dyDescent="0.3">
      <c r="A69" s="53"/>
      <c r="B69" s="3"/>
      <c r="C69" s="3"/>
      <c r="D69" s="3"/>
      <c r="E69" s="3"/>
      <c r="F69" s="14"/>
      <c r="G69" s="356"/>
      <c r="H69" s="356"/>
      <c r="I69" s="280"/>
      <c r="J69" s="136"/>
      <c r="K69" s="1"/>
      <c r="L69" s="1"/>
      <c r="M69" s="1"/>
    </row>
  </sheetData>
  <mergeCells count="6">
    <mergeCell ref="B15:J15"/>
    <mergeCell ref="B1:M1"/>
    <mergeCell ref="B2:G2"/>
    <mergeCell ref="B3:J3"/>
    <mergeCell ref="B4:J4"/>
    <mergeCell ref="B8:J8"/>
  </mergeCells>
  <printOptions horizontalCentered="1"/>
  <pageMargins left="0.19685039370078741" right="0.19685039370078741" top="0.59055118110236227" bottom="0.59055118110236227" header="0.51181102362204722" footer="0.51181102362204722"/>
  <pageSetup paperSize="9" scale="72" orientation="portrait" r:id="rId1"/>
  <headerFooter alignWithMargins="0">
    <oddFooter>&amp;C- &amp;P -</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L72"/>
  <sheetViews>
    <sheetView view="pageBreakPreview" topLeftCell="A8" zoomScaleNormal="100" zoomScaleSheetLayoutView="100" workbookViewId="0">
      <selection activeCell="J20" sqref="J20"/>
    </sheetView>
  </sheetViews>
  <sheetFormatPr defaultColWidth="9.28515625" defaultRowHeight="16.5" x14ac:dyDescent="0.3"/>
  <cols>
    <col min="1" max="1" width="3.7109375" style="204" customWidth="1"/>
    <col min="2" max="2" width="5.7109375" style="47" customWidth="1"/>
    <col min="3" max="4" width="5.7109375" style="33" customWidth="1"/>
    <col min="5" max="5" width="59.7109375" style="23" customWidth="1"/>
    <col min="6" max="8" width="13.7109375" style="23" customWidth="1"/>
    <col min="9" max="12" width="15.7109375" style="23" customWidth="1"/>
    <col min="13" max="16384" width="9.28515625" style="23"/>
  </cols>
  <sheetData>
    <row r="1" spans="1:12" x14ac:dyDescent="0.3">
      <c r="B1" s="1839" t="s">
        <v>865</v>
      </c>
      <c r="C1" s="1839"/>
      <c r="D1" s="1839"/>
      <c r="E1" s="1839"/>
      <c r="F1" s="1839"/>
      <c r="G1" s="1839"/>
      <c r="H1" s="1839"/>
      <c r="I1" s="1839"/>
      <c r="J1" s="1839"/>
      <c r="K1" s="1839"/>
    </row>
    <row r="2" spans="1:12" x14ac:dyDescent="0.3">
      <c r="B2" s="1841" t="s">
        <v>794</v>
      </c>
      <c r="C2" s="1841"/>
      <c r="D2" s="1841"/>
      <c r="E2" s="1841"/>
      <c r="G2" s="24"/>
    </row>
    <row r="3" spans="1:12" x14ac:dyDescent="0.3">
      <c r="B3" s="40"/>
      <c r="C3" s="40"/>
      <c r="D3" s="40"/>
      <c r="E3" s="40"/>
      <c r="G3" s="24"/>
    </row>
    <row r="4" spans="1:12" s="25" customFormat="1" ht="25.15" customHeight="1" x14ac:dyDescent="0.2">
      <c r="A4" s="204"/>
      <c r="B4" s="1842" t="s">
        <v>133</v>
      </c>
      <c r="C4" s="1842"/>
      <c r="D4" s="1842"/>
      <c r="E4" s="1842"/>
      <c r="F4" s="1842"/>
      <c r="G4" s="1842"/>
      <c r="H4" s="1842"/>
      <c r="I4" s="1842"/>
      <c r="J4" s="1842"/>
      <c r="K4" s="1842"/>
      <c r="L4" s="1842"/>
    </row>
    <row r="5" spans="1:12" s="25" customFormat="1" ht="25.15" customHeight="1" x14ac:dyDescent="0.2">
      <c r="A5" s="204"/>
      <c r="B5" s="1842" t="s">
        <v>582</v>
      </c>
      <c r="C5" s="1842"/>
      <c r="D5" s="1842"/>
      <c r="E5" s="1842"/>
      <c r="F5" s="1842"/>
      <c r="G5" s="1842"/>
      <c r="H5" s="1842"/>
      <c r="I5" s="1842"/>
      <c r="J5" s="1842"/>
      <c r="K5" s="1842"/>
      <c r="L5" s="1842"/>
    </row>
    <row r="6" spans="1:12" ht="17.25" x14ac:dyDescent="0.35">
      <c r="D6" s="37"/>
      <c r="E6" s="37"/>
      <c r="F6" s="37"/>
      <c r="G6" s="24"/>
      <c r="I6" s="876"/>
      <c r="J6" s="876"/>
      <c r="L6" s="876" t="s">
        <v>0</v>
      </c>
    </row>
    <row r="7" spans="1:12" s="205" customFormat="1" ht="15" thickBot="1" x14ac:dyDescent="0.35">
      <c r="A7" s="204"/>
      <c r="B7" s="874" t="s">
        <v>1</v>
      </c>
      <c r="C7" s="205" t="s">
        <v>3</v>
      </c>
      <c r="D7" s="205" t="s">
        <v>2</v>
      </c>
      <c r="E7" s="205" t="s">
        <v>4</v>
      </c>
      <c r="F7" s="205" t="s">
        <v>5</v>
      </c>
      <c r="G7" s="205" t="s">
        <v>15</v>
      </c>
      <c r="H7" s="875" t="s">
        <v>16</v>
      </c>
      <c r="I7" s="875" t="s">
        <v>17</v>
      </c>
      <c r="J7" s="205" t="s">
        <v>32</v>
      </c>
      <c r="K7" s="205" t="s">
        <v>28</v>
      </c>
      <c r="L7" s="205" t="s">
        <v>23</v>
      </c>
    </row>
    <row r="8" spans="1:12" s="26" customFormat="1" ht="80.099999999999994" customHeight="1" thickBot="1" x14ac:dyDescent="0.25">
      <c r="A8" s="204"/>
      <c r="B8" s="116" t="s">
        <v>162</v>
      </c>
      <c r="C8" s="107" t="s">
        <v>314</v>
      </c>
      <c r="D8" s="107" t="s">
        <v>316</v>
      </c>
      <c r="E8" s="117" t="s">
        <v>6</v>
      </c>
      <c r="F8" s="91" t="s">
        <v>580</v>
      </c>
      <c r="G8" s="91" t="s">
        <v>500</v>
      </c>
      <c r="H8" s="118" t="s">
        <v>710</v>
      </c>
      <c r="I8" s="931" t="s">
        <v>577</v>
      </c>
      <c r="J8" s="109" t="s">
        <v>806</v>
      </c>
      <c r="K8" s="929" t="s">
        <v>95</v>
      </c>
      <c r="L8" s="930" t="s">
        <v>856</v>
      </c>
    </row>
    <row r="9" spans="1:12" s="31" customFormat="1" ht="30" customHeight="1" x14ac:dyDescent="0.35">
      <c r="A9" s="204">
        <v>1</v>
      </c>
      <c r="B9" s="103" t="s">
        <v>295</v>
      </c>
      <c r="C9" s="28"/>
      <c r="D9" s="27"/>
      <c r="E9" s="29" t="s">
        <v>163</v>
      </c>
      <c r="F9" s="30">
        <f t="shared" ref="F9:L9" si="0">SUM(F10:F11)</f>
        <v>12380731</v>
      </c>
      <c r="G9" s="30">
        <f t="shared" si="0"/>
        <v>13111714</v>
      </c>
      <c r="H9" s="30">
        <f t="shared" si="0"/>
        <v>13552260</v>
      </c>
      <c r="I9" s="980">
        <f t="shared" si="0"/>
        <v>14196982</v>
      </c>
      <c r="J9" s="30">
        <f t="shared" si="0"/>
        <v>16031047</v>
      </c>
      <c r="K9" s="1006">
        <f t="shared" si="0"/>
        <v>357107</v>
      </c>
      <c r="L9" s="989">
        <f t="shared" si="0"/>
        <v>16388154</v>
      </c>
    </row>
    <row r="10" spans="1:12" ht="26.1" customHeight="1" x14ac:dyDescent="0.35">
      <c r="A10" s="204">
        <v>2</v>
      </c>
      <c r="B10" s="32"/>
      <c r="C10" s="33">
        <v>1</v>
      </c>
      <c r="E10" s="23" t="s">
        <v>35</v>
      </c>
      <c r="F10" s="23">
        <v>11919140</v>
      </c>
      <c r="G10" s="23">
        <v>12737090</v>
      </c>
      <c r="H10" s="23">
        <v>13083406</v>
      </c>
      <c r="I10" s="981">
        <v>13949288</v>
      </c>
      <c r="J10" s="23">
        <v>15578057</v>
      </c>
      <c r="K10" s="38">
        <f>'4.Inki'!K226+'4.Inki'!L226+'4.Inki'!M226+'4.Inki'!N226+'4.Inki'!O226</f>
        <v>298300</v>
      </c>
      <c r="L10" s="990">
        <f>SUM(J10:K10)</f>
        <v>15876357</v>
      </c>
    </row>
    <row r="11" spans="1:12" ht="25.5" customHeight="1" x14ac:dyDescent="0.35">
      <c r="A11" s="204">
        <v>3</v>
      </c>
      <c r="B11" s="32"/>
      <c r="C11" s="33">
        <v>2</v>
      </c>
      <c r="E11" s="23" t="s">
        <v>125</v>
      </c>
      <c r="F11" s="23">
        <f t="shared" ref="F11:K11" si="1">SUM(F12:F14)</f>
        <v>461591</v>
      </c>
      <c r="G11" s="23">
        <f t="shared" si="1"/>
        <v>374624</v>
      </c>
      <c r="H11" s="23">
        <f t="shared" si="1"/>
        <v>468854</v>
      </c>
      <c r="I11" s="981">
        <f t="shared" si="1"/>
        <v>247694</v>
      </c>
      <c r="J11" s="23">
        <f t="shared" si="1"/>
        <v>452990</v>
      </c>
      <c r="K11" s="38">
        <f t="shared" si="1"/>
        <v>58807</v>
      </c>
      <c r="L11" s="990">
        <f t="shared" ref="L11" si="2">SUM(L12:L14)</f>
        <v>511797</v>
      </c>
    </row>
    <row r="12" spans="1:12" ht="17.25" x14ac:dyDescent="0.35">
      <c r="A12" s="204">
        <v>4</v>
      </c>
      <c r="B12" s="32"/>
      <c r="D12" s="33">
        <v>7</v>
      </c>
      <c r="E12" s="995" t="s">
        <v>186</v>
      </c>
      <c r="F12" s="23">
        <v>460547</v>
      </c>
      <c r="G12" s="23">
        <v>374624</v>
      </c>
      <c r="H12" s="23">
        <v>466880</v>
      </c>
      <c r="I12" s="981">
        <v>247694</v>
      </c>
      <c r="J12" s="23">
        <v>451490</v>
      </c>
      <c r="K12" s="38">
        <f>'4.Inki'!P226</f>
        <v>58807</v>
      </c>
      <c r="L12" s="990">
        <f>SUM(J12:K12)</f>
        <v>510297</v>
      </c>
    </row>
    <row r="13" spans="1:12" ht="17.25" x14ac:dyDescent="0.35">
      <c r="A13" s="204">
        <v>5</v>
      </c>
      <c r="B13" s="32"/>
      <c r="D13" s="33">
        <v>8</v>
      </c>
      <c r="E13" s="995" t="s">
        <v>126</v>
      </c>
      <c r="F13" s="23">
        <v>20</v>
      </c>
      <c r="H13" s="23">
        <v>1974</v>
      </c>
      <c r="I13" s="981"/>
      <c r="K13" s="38"/>
      <c r="L13" s="990">
        <f t="shared" ref="L13:L14" si="3">SUM(J13:K13)</f>
        <v>0</v>
      </c>
    </row>
    <row r="14" spans="1:12" ht="17.25" x14ac:dyDescent="0.35">
      <c r="A14" s="204">
        <v>6</v>
      </c>
      <c r="B14" s="32"/>
      <c r="D14" s="33">
        <v>9</v>
      </c>
      <c r="E14" s="995" t="s">
        <v>187</v>
      </c>
      <c r="F14" s="23">
        <v>1024</v>
      </c>
      <c r="I14" s="981"/>
      <c r="J14" s="23">
        <v>1500</v>
      </c>
      <c r="K14" s="38">
        <f>'4.Inki'!Q226</f>
        <v>0</v>
      </c>
      <c r="L14" s="990">
        <f t="shared" si="3"/>
        <v>1500</v>
      </c>
    </row>
    <row r="15" spans="1:12" s="31" customFormat="1" ht="30" customHeight="1" x14ac:dyDescent="0.35">
      <c r="A15" s="204">
        <v>7</v>
      </c>
      <c r="B15" s="104" t="s">
        <v>296</v>
      </c>
      <c r="C15" s="35"/>
      <c r="D15" s="35"/>
      <c r="E15" s="36" t="s">
        <v>99</v>
      </c>
      <c r="F15" s="36">
        <f t="shared" ref="F15:K15" si="4">SUM(F16:F17,F33,F34)</f>
        <v>39673417</v>
      </c>
      <c r="G15" s="36">
        <f t="shared" si="4"/>
        <v>29978320</v>
      </c>
      <c r="H15" s="36">
        <f t="shared" si="4"/>
        <v>20194264</v>
      </c>
      <c r="I15" s="982">
        <f t="shared" si="4"/>
        <v>24237463</v>
      </c>
      <c r="J15" s="36">
        <f t="shared" si="4"/>
        <v>25304640</v>
      </c>
      <c r="K15" s="1007">
        <f t="shared" si="4"/>
        <v>4104696</v>
      </c>
      <c r="L15" s="991">
        <f t="shared" ref="L15" si="5">SUM(L16:L17,L33,L34)</f>
        <v>29409336</v>
      </c>
    </row>
    <row r="16" spans="1:12" s="31" customFormat="1" ht="25.5" customHeight="1" x14ac:dyDescent="0.35">
      <c r="A16" s="204">
        <v>8</v>
      </c>
      <c r="B16" s="32"/>
      <c r="C16" s="33">
        <v>1</v>
      </c>
      <c r="D16" s="37"/>
      <c r="E16" s="31" t="s">
        <v>35</v>
      </c>
      <c r="F16" s="31">
        <v>13413343</v>
      </c>
      <c r="G16" s="31">
        <v>14604135</v>
      </c>
      <c r="H16" s="31">
        <v>13385531</v>
      </c>
      <c r="I16" s="983">
        <f>'6.Önk.műk.'!I1017+'7.Beruh.'!I538+'8.Felúj.'!I97+'9.Projekt'!I168+'9.Projekt'!J168+'9.Projekt'!K168+'9.Projekt'!L168</f>
        <v>15280082</v>
      </c>
      <c r="J16" s="31">
        <v>15648129</v>
      </c>
      <c r="K16" s="1008">
        <f>'6.Önk.műk.'!I1019+'7.Beruh.'!I540+'8.Felúj.'!I99+'9.Projekt'!I170+'9.Projekt'!J170+'9.Projekt'!K170+'9.Projekt'!L170</f>
        <v>272327</v>
      </c>
      <c r="L16" s="992">
        <f>SUM(J16:K16)</f>
        <v>15920456</v>
      </c>
    </row>
    <row r="17" spans="1:12" ht="25.5" customHeight="1" x14ac:dyDescent="0.35">
      <c r="A17" s="204">
        <v>9</v>
      </c>
      <c r="B17" s="32"/>
      <c r="C17" s="37"/>
      <c r="D17" s="37"/>
      <c r="E17" s="31" t="s">
        <v>164</v>
      </c>
      <c r="F17" s="31">
        <f>SUM(F18,F27)</f>
        <v>0</v>
      </c>
      <c r="G17" s="31">
        <f>SUM(G18,G27)</f>
        <v>1445988</v>
      </c>
      <c r="H17" s="31">
        <f>SUM(H18,H27)</f>
        <v>0</v>
      </c>
      <c r="I17" s="983">
        <f>SUM(I18,I27)</f>
        <v>749826</v>
      </c>
      <c r="J17" s="31">
        <f>SUM(J18,J27)</f>
        <v>888075</v>
      </c>
      <c r="K17" s="1008">
        <f t="shared" ref="K17" si="6">SUM(K18,K27)</f>
        <v>-251436</v>
      </c>
      <c r="L17" s="992">
        <f>SUM(L18,L27)</f>
        <v>636639</v>
      </c>
    </row>
    <row r="18" spans="1:12" s="38" customFormat="1" ht="25.5" customHeight="1" x14ac:dyDescent="0.35">
      <c r="A18" s="204">
        <v>10</v>
      </c>
      <c r="B18" s="105"/>
      <c r="C18" s="33">
        <v>1</v>
      </c>
      <c r="D18" s="33">
        <v>6</v>
      </c>
      <c r="E18" s="996" t="s">
        <v>303</v>
      </c>
      <c r="F18" s="38">
        <f>SUM(F19:F26)</f>
        <v>0</v>
      </c>
      <c r="G18" s="38">
        <f>SUM(G19:G26)</f>
        <v>871488</v>
      </c>
      <c r="H18" s="38">
        <f t="shared" ref="H18:K18" si="7">SUM(H19:H26)</f>
        <v>0</v>
      </c>
      <c r="I18" s="984">
        <f t="shared" si="7"/>
        <v>747344</v>
      </c>
      <c r="J18" s="38">
        <f t="shared" si="7"/>
        <v>884987</v>
      </c>
      <c r="K18" s="38">
        <f t="shared" si="7"/>
        <v>-256456</v>
      </c>
      <c r="L18" s="990">
        <f>SUM(J18:K18)</f>
        <v>628531</v>
      </c>
    </row>
    <row r="19" spans="1:12" ht="17.25" x14ac:dyDescent="0.35">
      <c r="A19" s="204">
        <v>11</v>
      </c>
      <c r="B19" s="32"/>
      <c r="E19" s="997" t="s">
        <v>632</v>
      </c>
      <c r="G19" s="23">
        <v>218415</v>
      </c>
      <c r="I19" s="981">
        <v>255932</v>
      </c>
      <c r="J19" s="23">
        <v>186286</v>
      </c>
      <c r="K19" s="38">
        <v>-789</v>
      </c>
      <c r="L19" s="990">
        <f>SUM(J19:K19)</f>
        <v>185497</v>
      </c>
    </row>
    <row r="20" spans="1:12" ht="17.25" x14ac:dyDescent="0.35">
      <c r="A20" s="204">
        <v>12</v>
      </c>
      <c r="B20" s="32"/>
      <c r="E20" s="997" t="s">
        <v>385</v>
      </c>
      <c r="G20" s="23">
        <v>36000</v>
      </c>
      <c r="I20" s="981">
        <v>36000</v>
      </c>
      <c r="J20" s="23">
        <v>0</v>
      </c>
      <c r="K20" s="38"/>
      <c r="L20" s="990">
        <f t="shared" ref="L20:L26" si="8">SUM(J20:K20)</f>
        <v>0</v>
      </c>
    </row>
    <row r="21" spans="1:12" ht="17.25" x14ac:dyDescent="0.35">
      <c r="A21" s="204">
        <v>13</v>
      </c>
      <c r="B21" s="32"/>
      <c r="E21" s="997" t="s">
        <v>386</v>
      </c>
      <c r="G21" s="23">
        <v>15128</v>
      </c>
      <c r="I21" s="981">
        <v>265000</v>
      </c>
      <c r="J21" s="23">
        <v>265000</v>
      </c>
      <c r="K21" s="38">
        <v>-3078</v>
      </c>
      <c r="L21" s="990">
        <f t="shared" si="8"/>
        <v>261922</v>
      </c>
    </row>
    <row r="22" spans="1:12" ht="17.25" x14ac:dyDescent="0.35">
      <c r="A22" s="204">
        <v>14</v>
      </c>
      <c r="B22" s="32"/>
      <c r="E22" s="997" t="s">
        <v>310</v>
      </c>
      <c r="G22" s="23">
        <v>150000</v>
      </c>
      <c r="I22" s="981">
        <v>150000</v>
      </c>
      <c r="J22" s="23">
        <v>386789</v>
      </c>
      <c r="K22" s="38">
        <v>-236789</v>
      </c>
      <c r="L22" s="990">
        <f t="shared" si="8"/>
        <v>150000</v>
      </c>
    </row>
    <row r="23" spans="1:12" ht="17.25" x14ac:dyDescent="0.35">
      <c r="A23" s="204">
        <v>15</v>
      </c>
      <c r="B23" s="32"/>
      <c r="E23" s="997" t="s">
        <v>484</v>
      </c>
      <c r="G23" s="23">
        <v>418802</v>
      </c>
      <c r="I23" s="981"/>
      <c r="K23" s="38"/>
      <c r="L23" s="990">
        <f t="shared" si="8"/>
        <v>0</v>
      </c>
    </row>
    <row r="24" spans="1:12" ht="17.25" x14ac:dyDescent="0.35">
      <c r="A24" s="204">
        <v>16</v>
      </c>
      <c r="B24" s="32"/>
      <c r="E24" s="997" t="s">
        <v>633</v>
      </c>
      <c r="G24" s="23">
        <v>15293</v>
      </c>
      <c r="I24" s="981">
        <v>21912</v>
      </c>
      <c r="J24" s="23">
        <v>28412</v>
      </c>
      <c r="K24" s="38">
        <f>-12000+5000</f>
        <v>-7000</v>
      </c>
      <c r="L24" s="990">
        <f t="shared" si="8"/>
        <v>21412</v>
      </c>
    </row>
    <row r="25" spans="1:12" ht="17.25" x14ac:dyDescent="0.35">
      <c r="A25" s="204">
        <v>17</v>
      </c>
      <c r="B25" s="32"/>
      <c r="E25" s="997" t="s">
        <v>398</v>
      </c>
      <c r="G25" s="23">
        <v>7850</v>
      </c>
      <c r="I25" s="981">
        <v>8500</v>
      </c>
      <c r="J25" s="23">
        <v>8500</v>
      </c>
      <c r="K25" s="38">
        <v>1200</v>
      </c>
      <c r="L25" s="990">
        <f t="shared" si="8"/>
        <v>9700</v>
      </c>
    </row>
    <row r="26" spans="1:12" ht="17.25" x14ac:dyDescent="0.35">
      <c r="A26" s="204">
        <v>18</v>
      </c>
      <c r="B26" s="32"/>
      <c r="E26" s="997" t="s">
        <v>399</v>
      </c>
      <c r="G26" s="23">
        <v>10000</v>
      </c>
      <c r="I26" s="981">
        <v>10000</v>
      </c>
      <c r="J26" s="23">
        <v>10000</v>
      </c>
      <c r="K26" s="38">
        <v>-10000</v>
      </c>
      <c r="L26" s="990">
        <f t="shared" si="8"/>
        <v>0</v>
      </c>
    </row>
    <row r="27" spans="1:12" s="38" customFormat="1" ht="25.5" customHeight="1" x14ac:dyDescent="0.35">
      <c r="A27" s="204">
        <v>19</v>
      </c>
      <c r="B27" s="105"/>
      <c r="C27" s="33">
        <v>2</v>
      </c>
      <c r="D27" s="33">
        <v>10</v>
      </c>
      <c r="E27" s="996" t="s">
        <v>304</v>
      </c>
      <c r="F27" s="38">
        <f t="shared" ref="F27:L27" si="9">SUM(F28:F32)</f>
        <v>0</v>
      </c>
      <c r="G27" s="38">
        <f t="shared" si="9"/>
        <v>574500</v>
      </c>
      <c r="H27" s="38">
        <f t="shared" si="9"/>
        <v>0</v>
      </c>
      <c r="I27" s="984">
        <f t="shared" si="9"/>
        <v>2482</v>
      </c>
      <c r="J27" s="38">
        <f t="shared" si="9"/>
        <v>3088</v>
      </c>
      <c r="K27" s="38">
        <f t="shared" si="9"/>
        <v>5020</v>
      </c>
      <c r="L27" s="993">
        <f t="shared" si="9"/>
        <v>8108</v>
      </c>
    </row>
    <row r="28" spans="1:12" ht="17.25" x14ac:dyDescent="0.35">
      <c r="A28" s="204">
        <v>20</v>
      </c>
      <c r="B28" s="32"/>
      <c r="C28" s="998"/>
      <c r="E28" s="997" t="s">
        <v>356</v>
      </c>
      <c r="I28" s="981"/>
      <c r="K28" s="38"/>
      <c r="L28" s="990"/>
    </row>
    <row r="29" spans="1:12" ht="17.25" x14ac:dyDescent="0.35">
      <c r="A29" s="204">
        <v>21</v>
      </c>
      <c r="B29" s="32"/>
      <c r="C29" s="998"/>
      <c r="E29" s="999" t="s">
        <v>400</v>
      </c>
      <c r="G29" s="25">
        <v>6000</v>
      </c>
      <c r="H29" s="25"/>
      <c r="I29" s="985">
        <v>2482</v>
      </c>
      <c r="J29" s="25">
        <v>2588</v>
      </c>
      <c r="K29" s="38">
        <f>20</f>
        <v>20</v>
      </c>
      <c r="L29" s="990">
        <f>SUM(J29:K29)</f>
        <v>2608</v>
      </c>
    </row>
    <row r="30" spans="1:12" ht="17.25" x14ac:dyDescent="0.35">
      <c r="A30" s="204">
        <v>22</v>
      </c>
      <c r="B30" s="32"/>
      <c r="C30" s="998"/>
      <c r="E30" s="999" t="s">
        <v>401</v>
      </c>
      <c r="G30" s="25">
        <v>568500</v>
      </c>
      <c r="H30" s="25"/>
      <c r="I30" s="985"/>
      <c r="J30" s="25"/>
      <c r="K30" s="38"/>
      <c r="L30" s="990">
        <f t="shared" ref="L30:L32" si="10">SUM(J30:K30)</f>
        <v>0</v>
      </c>
    </row>
    <row r="31" spans="1:12" ht="17.25" x14ac:dyDescent="0.35">
      <c r="A31" s="204">
        <v>23</v>
      </c>
      <c r="B31" s="32"/>
      <c r="C31" s="998"/>
      <c r="E31" s="999" t="s">
        <v>707</v>
      </c>
      <c r="G31" s="25"/>
      <c r="H31" s="25"/>
      <c r="I31" s="985"/>
      <c r="J31" s="25">
        <v>500</v>
      </c>
      <c r="K31" s="38">
        <v>5000</v>
      </c>
      <c r="L31" s="990">
        <f t="shared" si="10"/>
        <v>5500</v>
      </c>
    </row>
    <row r="32" spans="1:12" ht="17.25" x14ac:dyDescent="0.35">
      <c r="A32" s="204">
        <v>24</v>
      </c>
      <c r="B32" s="32"/>
      <c r="C32" s="998"/>
      <c r="E32" s="997" t="s">
        <v>492</v>
      </c>
      <c r="I32" s="981"/>
      <c r="K32" s="38"/>
      <c r="L32" s="990">
        <f t="shared" si="10"/>
        <v>0</v>
      </c>
    </row>
    <row r="33" spans="1:12" s="25" customFormat="1" ht="25.5" customHeight="1" x14ac:dyDescent="0.2">
      <c r="A33" s="204">
        <v>25</v>
      </c>
      <c r="B33" s="106"/>
      <c r="C33" s="877"/>
      <c r="D33" s="877"/>
      <c r="E33" s="39" t="s">
        <v>165</v>
      </c>
      <c r="F33" s="39"/>
      <c r="G33" s="39">
        <v>150000</v>
      </c>
      <c r="H33" s="39"/>
      <c r="I33" s="986">
        <v>150000</v>
      </c>
      <c r="J33" s="39">
        <v>150000</v>
      </c>
      <c r="K33" s="1009"/>
      <c r="L33" s="1000">
        <f>SUM(J33:K33)</f>
        <v>150000</v>
      </c>
    </row>
    <row r="34" spans="1:12" s="31" customFormat="1" ht="25.5" customHeight="1" x14ac:dyDescent="0.35">
      <c r="A34" s="204">
        <v>26</v>
      </c>
      <c r="B34" s="32"/>
      <c r="C34" s="33">
        <v>2</v>
      </c>
      <c r="D34" s="37"/>
      <c r="E34" s="31" t="s">
        <v>125</v>
      </c>
      <c r="F34" s="31">
        <f>SUM(F35:F37)</f>
        <v>26260074</v>
      </c>
      <c r="G34" s="31">
        <f>SUM(G35:G37)</f>
        <v>13778197</v>
      </c>
      <c r="H34" s="31">
        <f>SUM(H35:H37)</f>
        <v>6808733</v>
      </c>
      <c r="I34" s="983">
        <f>SUM(I35:I37)</f>
        <v>8057555</v>
      </c>
      <c r="J34" s="31">
        <f>SUM(J35:J37)</f>
        <v>8618436</v>
      </c>
      <c r="K34" s="1008">
        <f t="shared" ref="K34:L34" si="11">SUM(K35:K37)</f>
        <v>4083805</v>
      </c>
      <c r="L34" s="992">
        <f t="shared" si="11"/>
        <v>12702241</v>
      </c>
    </row>
    <row r="35" spans="1:12" ht="17.25" x14ac:dyDescent="0.35">
      <c r="A35" s="204">
        <v>27</v>
      </c>
      <c r="B35" s="32"/>
      <c r="D35" s="33">
        <v>7</v>
      </c>
      <c r="E35" s="995" t="s">
        <v>186</v>
      </c>
      <c r="F35" s="23">
        <v>23451890</v>
      </c>
      <c r="G35" s="23">
        <v>11055791</v>
      </c>
      <c r="H35" s="23">
        <v>5665878</v>
      </c>
      <c r="I35" s="981">
        <f>'7.Beruh.'!J538+'9.Projekt'!M168</f>
        <v>7110614</v>
      </c>
      <c r="J35" s="23">
        <v>7623603</v>
      </c>
      <c r="K35" s="38">
        <f>'7.Beruh.'!J540+'9.Projekt'!M170</f>
        <v>3997825</v>
      </c>
      <c r="L35" s="990">
        <f>SUM(J35:K35)</f>
        <v>11621428</v>
      </c>
    </row>
    <row r="36" spans="1:12" ht="17.25" x14ac:dyDescent="0.35">
      <c r="A36" s="204">
        <v>28</v>
      </c>
      <c r="B36" s="32"/>
      <c r="D36" s="33">
        <v>8</v>
      </c>
      <c r="E36" s="995" t="s">
        <v>126</v>
      </c>
      <c r="F36" s="23">
        <v>2531852</v>
      </c>
      <c r="G36" s="23">
        <v>1837575</v>
      </c>
      <c r="H36" s="23">
        <v>632216</v>
      </c>
      <c r="I36" s="981">
        <f>'7.Beruh.'!K538+'9.Projekt'!N168</f>
        <v>358458</v>
      </c>
      <c r="J36" s="23">
        <v>406468</v>
      </c>
      <c r="K36" s="38">
        <f>'7.Beruh.'!K540+'9.Projekt'!N170</f>
        <v>0</v>
      </c>
      <c r="L36" s="990">
        <f t="shared" ref="L36:L37" si="12">SUM(J36:K36)</f>
        <v>406468</v>
      </c>
    </row>
    <row r="37" spans="1:12" ht="17.25" x14ac:dyDescent="0.35">
      <c r="A37" s="204">
        <v>29</v>
      </c>
      <c r="B37" s="32"/>
      <c r="D37" s="33">
        <v>9</v>
      </c>
      <c r="E37" s="995" t="s">
        <v>187</v>
      </c>
      <c r="F37" s="23">
        <v>276332</v>
      </c>
      <c r="G37" s="23">
        <v>884831</v>
      </c>
      <c r="H37" s="23">
        <v>510639</v>
      </c>
      <c r="I37" s="981">
        <f>'8.Felúj.'!J97</f>
        <v>588483</v>
      </c>
      <c r="J37" s="23">
        <v>588365</v>
      </c>
      <c r="K37" s="38">
        <f>'8.Felúj.'!J99+'9.Projekt'!O170</f>
        <v>85980</v>
      </c>
      <c r="L37" s="990">
        <f t="shared" si="12"/>
        <v>674345</v>
      </c>
    </row>
    <row r="38" spans="1:12" s="31" customFormat="1" ht="30" customHeight="1" x14ac:dyDescent="0.35">
      <c r="A38" s="204">
        <v>30</v>
      </c>
      <c r="B38" s="104" t="s">
        <v>296</v>
      </c>
      <c r="C38" s="35"/>
      <c r="D38" s="34"/>
      <c r="E38" s="36" t="s">
        <v>166</v>
      </c>
      <c r="F38" s="36">
        <f>SUM(F39:F40)</f>
        <v>0</v>
      </c>
      <c r="G38" s="36">
        <f>SUM(G39:G40)</f>
        <v>0</v>
      </c>
      <c r="H38" s="36">
        <f>SUM(H39:H40)</f>
        <v>0</v>
      </c>
      <c r="I38" s="982">
        <f>SUM(I39:I40)</f>
        <v>0</v>
      </c>
      <c r="J38" s="36">
        <f>SUM(J39:J40)</f>
        <v>0</v>
      </c>
      <c r="K38" s="1007">
        <f t="shared" ref="K38:L38" si="13">SUM(K39:K40)</f>
        <v>0</v>
      </c>
      <c r="L38" s="991">
        <f t="shared" si="13"/>
        <v>0</v>
      </c>
    </row>
    <row r="39" spans="1:12" ht="24" customHeight="1" x14ac:dyDescent="0.35">
      <c r="A39" s="204">
        <v>31</v>
      </c>
      <c r="B39" s="32"/>
      <c r="C39" s="33">
        <v>1</v>
      </c>
      <c r="E39" s="40" t="s">
        <v>35</v>
      </c>
      <c r="I39" s="981"/>
      <c r="K39" s="38"/>
      <c r="L39" s="990"/>
    </row>
    <row r="40" spans="1:12" ht="24" customHeight="1" thickBot="1" x14ac:dyDescent="0.4">
      <c r="A40" s="204">
        <v>32</v>
      </c>
      <c r="B40" s="32"/>
      <c r="C40" s="33">
        <v>2</v>
      </c>
      <c r="E40" s="1001" t="s">
        <v>125</v>
      </c>
      <c r="I40" s="981"/>
      <c r="K40" s="38"/>
      <c r="L40" s="990"/>
    </row>
    <row r="41" spans="1:12" s="39" customFormat="1" ht="40.15" customHeight="1" thickBot="1" x14ac:dyDescent="0.25">
      <c r="A41" s="204">
        <v>33</v>
      </c>
      <c r="B41" s="43"/>
      <c r="C41" s="45"/>
      <c r="D41" s="44"/>
      <c r="E41" s="46" t="s">
        <v>167</v>
      </c>
      <c r="F41" s="46">
        <f t="shared" ref="F41:L41" si="14">SUM(F9,F15,F38)</f>
        <v>52054148</v>
      </c>
      <c r="G41" s="46">
        <f t="shared" si="14"/>
        <v>43090034</v>
      </c>
      <c r="H41" s="46">
        <f t="shared" si="14"/>
        <v>33746524</v>
      </c>
      <c r="I41" s="987">
        <f t="shared" si="14"/>
        <v>38434445</v>
      </c>
      <c r="J41" s="46">
        <f t="shared" si="14"/>
        <v>41335687</v>
      </c>
      <c r="K41" s="1010">
        <f t="shared" si="14"/>
        <v>4461803</v>
      </c>
      <c r="L41" s="994">
        <f t="shared" si="14"/>
        <v>45797490</v>
      </c>
    </row>
    <row r="42" spans="1:12" ht="30" customHeight="1" x14ac:dyDescent="0.35">
      <c r="A42" s="204">
        <v>34</v>
      </c>
      <c r="B42" s="32" t="s">
        <v>296</v>
      </c>
      <c r="E42" s="31" t="s">
        <v>168</v>
      </c>
      <c r="F42" s="31">
        <f>SUM(F47:F48,F43:F45)</f>
        <v>636829</v>
      </c>
      <c r="G42" s="31">
        <f t="shared" ref="G42:L42" si="15">SUM(G47:G48,G43:G45)</f>
        <v>457737</v>
      </c>
      <c r="H42" s="31">
        <f t="shared" si="15"/>
        <v>2304689</v>
      </c>
      <c r="I42" s="983">
        <f t="shared" si="15"/>
        <v>460233</v>
      </c>
      <c r="J42" s="31">
        <f t="shared" si="15"/>
        <v>1479230</v>
      </c>
      <c r="K42" s="1008">
        <f t="shared" si="15"/>
        <v>109544</v>
      </c>
      <c r="L42" s="992">
        <f t="shared" si="15"/>
        <v>1588774</v>
      </c>
    </row>
    <row r="43" spans="1:12" ht="17.25" x14ac:dyDescent="0.35">
      <c r="A43" s="204">
        <v>35</v>
      </c>
      <c r="B43" s="32"/>
      <c r="C43" s="33">
        <v>1</v>
      </c>
      <c r="E43" s="23" t="s">
        <v>169</v>
      </c>
      <c r="I43" s="981"/>
      <c r="K43" s="38"/>
      <c r="L43" s="990"/>
    </row>
    <row r="44" spans="1:12" ht="17.25" x14ac:dyDescent="0.35">
      <c r="A44" s="204">
        <v>36</v>
      </c>
      <c r="B44" s="32"/>
      <c r="D44" s="33">
        <v>11</v>
      </c>
      <c r="E44" s="23" t="s">
        <v>579</v>
      </c>
      <c r="H44" s="23">
        <v>1500000</v>
      </c>
      <c r="I44" s="981"/>
      <c r="K44" s="38"/>
      <c r="L44" s="990"/>
    </row>
    <row r="45" spans="1:12" ht="17.25" x14ac:dyDescent="0.35">
      <c r="A45" s="204">
        <v>37</v>
      </c>
      <c r="B45" s="32"/>
      <c r="D45" s="33">
        <v>12</v>
      </c>
      <c r="E45" s="23" t="s">
        <v>215</v>
      </c>
      <c r="F45" s="23">
        <v>354955</v>
      </c>
      <c r="G45" s="23">
        <v>219898</v>
      </c>
      <c r="H45" s="23">
        <v>566850</v>
      </c>
      <c r="I45" s="981">
        <v>222394</v>
      </c>
      <c r="J45" s="23">
        <v>1241391</v>
      </c>
      <c r="K45" s="38">
        <v>109544</v>
      </c>
      <c r="L45" s="990">
        <f>SUM(J45:K45)</f>
        <v>1350935</v>
      </c>
    </row>
    <row r="46" spans="1:12" ht="17.25" x14ac:dyDescent="0.35">
      <c r="A46" s="204">
        <v>38</v>
      </c>
      <c r="B46" s="32"/>
      <c r="C46" s="33">
        <v>2</v>
      </c>
      <c r="E46" s="23" t="s">
        <v>170</v>
      </c>
      <c r="I46" s="981"/>
      <c r="K46" s="38"/>
      <c r="L46" s="990"/>
    </row>
    <row r="47" spans="1:12" ht="17.25" x14ac:dyDescent="0.35">
      <c r="A47" s="204">
        <v>39</v>
      </c>
      <c r="B47" s="32"/>
      <c r="D47" s="33">
        <v>13</v>
      </c>
      <c r="E47" s="1002" t="s">
        <v>171</v>
      </c>
      <c r="F47" s="23">
        <v>281874</v>
      </c>
      <c r="G47" s="23">
        <v>237839</v>
      </c>
      <c r="H47" s="23">
        <v>237839</v>
      </c>
      <c r="I47" s="981">
        <v>237839</v>
      </c>
      <c r="J47" s="23">
        <v>237839</v>
      </c>
      <c r="K47" s="38"/>
      <c r="L47" s="990">
        <f>SUM(J47:K47)</f>
        <v>237839</v>
      </c>
    </row>
    <row r="48" spans="1:12" s="42" customFormat="1" ht="18" customHeight="1" thickBot="1" x14ac:dyDescent="0.25">
      <c r="A48" s="204">
        <v>40</v>
      </c>
      <c r="B48" s="41"/>
      <c r="C48" s="1003"/>
      <c r="D48" s="1003">
        <v>13</v>
      </c>
      <c r="E48" s="1004" t="s">
        <v>172</v>
      </c>
      <c r="I48" s="988"/>
      <c r="K48" s="1011"/>
      <c r="L48" s="1005"/>
    </row>
    <row r="49" spans="1:12" s="39" customFormat="1" ht="40.15" customHeight="1" thickBot="1" x14ac:dyDescent="0.25">
      <c r="A49" s="204">
        <v>41</v>
      </c>
      <c r="B49" s="43"/>
      <c r="C49" s="45"/>
      <c r="D49" s="44"/>
      <c r="E49" s="46" t="s">
        <v>173</v>
      </c>
      <c r="F49" s="46">
        <f>SUM(F41:F42)</f>
        <v>52690977</v>
      </c>
      <c r="G49" s="46">
        <f>SUM(G41:G42)</f>
        <v>43547771</v>
      </c>
      <c r="H49" s="46">
        <f>SUM(H41:H42)</f>
        <v>36051213</v>
      </c>
      <c r="I49" s="987">
        <f>SUM(I41:I42)</f>
        <v>38894678</v>
      </c>
      <c r="J49" s="46">
        <f>SUM(J41:J42)</f>
        <v>42814917</v>
      </c>
      <c r="K49" s="1010">
        <f t="shared" ref="K49:L49" si="16">SUM(K41:K42)</f>
        <v>4571347</v>
      </c>
      <c r="L49" s="994">
        <f t="shared" si="16"/>
        <v>47386264</v>
      </c>
    </row>
    <row r="54" spans="1:12" ht="17.25" x14ac:dyDescent="0.35">
      <c r="D54" s="37"/>
      <c r="E54" s="31"/>
      <c r="F54" s="31"/>
      <c r="G54" s="31"/>
      <c r="H54" s="31"/>
    </row>
    <row r="65" spans="1:4" s="31" customFormat="1" ht="17.25" x14ac:dyDescent="0.35">
      <c r="A65" s="206"/>
      <c r="B65" s="47"/>
      <c r="C65" s="33"/>
      <c r="D65" s="37"/>
    </row>
    <row r="70" spans="1:4" s="31" customFormat="1" ht="17.25" x14ac:dyDescent="0.35">
      <c r="A70" s="206"/>
      <c r="B70" s="47"/>
      <c r="C70" s="33"/>
      <c r="D70" s="37"/>
    </row>
    <row r="72" spans="1:4" s="31" customFormat="1" ht="17.25" x14ac:dyDescent="0.35">
      <c r="A72" s="206"/>
      <c r="B72" s="47"/>
      <c r="C72" s="33"/>
      <c r="D72" s="37"/>
    </row>
  </sheetData>
  <mergeCells count="4">
    <mergeCell ref="B2:E2"/>
    <mergeCell ref="B4:L4"/>
    <mergeCell ref="B5:L5"/>
    <mergeCell ref="B1:K1"/>
  </mergeCells>
  <printOptions horizontalCentered="1"/>
  <pageMargins left="0.19685039370078741" right="0.19685039370078741" top="0.59055118110236227" bottom="0.59055118110236227" header="0.51181102362204722" footer="0.51181102362204722"/>
  <pageSetup paperSize="9" scale="54" fitToHeight="2" orientation="portrait" r:id="rId1"/>
  <headerFooter alignWithMargins="0">
    <oddFooter>&amp;C- &amp;P--</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S170"/>
  <sheetViews>
    <sheetView view="pageBreakPreview" topLeftCell="F161" zoomScaleNormal="100" zoomScaleSheetLayoutView="100" workbookViewId="0">
      <selection activeCell="A6" sqref="A6:R170"/>
    </sheetView>
  </sheetViews>
  <sheetFormatPr defaultColWidth="9.28515625" defaultRowHeight="12.75" x14ac:dyDescent="0.2"/>
  <cols>
    <col min="1" max="1" width="3.7109375" style="355" customWidth="1"/>
    <col min="2" max="3" width="5.7109375" customWidth="1"/>
    <col min="4" max="4" width="4.7109375" customWidth="1"/>
    <col min="5" max="5" width="51.7109375" customWidth="1"/>
    <col min="6" max="8" width="10.5703125" customWidth="1"/>
    <col min="9" max="9" width="13.5703125" customWidth="1"/>
    <col min="10" max="10" width="10" customWidth="1"/>
    <col min="11" max="11" width="14" bestFit="1" customWidth="1"/>
    <col min="12" max="12" width="11.7109375" customWidth="1"/>
    <col min="13" max="13" width="12.42578125" bestFit="1" customWidth="1"/>
    <col min="14" max="14" width="14" customWidth="1"/>
    <col min="15" max="16" width="12.7109375" customWidth="1"/>
    <col min="17" max="17" width="10.7109375" customWidth="1"/>
    <col min="18" max="18" width="12.7109375" style="341" customWidth="1"/>
  </cols>
  <sheetData>
    <row r="1" spans="1:19" ht="18" customHeight="1" x14ac:dyDescent="0.3">
      <c r="B1" s="19" t="s">
        <v>866</v>
      </c>
      <c r="C1" s="19"/>
      <c r="D1" s="19"/>
      <c r="E1" s="19"/>
      <c r="F1" s="19"/>
      <c r="G1" s="19"/>
      <c r="H1" s="19"/>
      <c r="I1" s="19"/>
      <c r="J1" s="19"/>
      <c r="K1" s="19"/>
    </row>
    <row r="2" spans="1:19" s="281" customFormat="1" ht="18" customHeight="1" x14ac:dyDescent="0.2">
      <c r="A2" s="279"/>
      <c r="B2" s="1847" t="s">
        <v>795</v>
      </c>
      <c r="C2" s="1847"/>
      <c r="D2" s="1847"/>
      <c r="E2" s="1847"/>
      <c r="F2" s="136"/>
      <c r="G2" s="136"/>
      <c r="H2" s="136"/>
      <c r="I2" s="136"/>
      <c r="J2" s="136"/>
      <c r="K2" s="136"/>
      <c r="L2" s="136"/>
      <c r="M2" s="136"/>
      <c r="N2" s="136"/>
      <c r="O2" s="136"/>
      <c r="P2" s="136"/>
      <c r="Q2" s="136"/>
      <c r="R2" s="280"/>
      <c r="S2" s="136"/>
    </row>
    <row r="3" spans="1:19" s="281" customFormat="1" ht="18" customHeight="1" x14ac:dyDescent="0.2">
      <c r="A3" s="279"/>
      <c r="B3" s="866"/>
      <c r="C3" s="866"/>
      <c r="D3" s="866"/>
      <c r="E3" s="866"/>
      <c r="F3" s="136"/>
      <c r="G3" s="136"/>
      <c r="H3" s="136"/>
      <c r="I3" s="136"/>
      <c r="J3" s="136"/>
      <c r="K3" s="136"/>
      <c r="L3" s="136"/>
      <c r="M3" s="136"/>
      <c r="N3" s="136"/>
      <c r="O3" s="136"/>
      <c r="P3" s="136"/>
      <c r="Q3" s="136"/>
      <c r="R3" s="280"/>
      <c r="S3" s="136"/>
    </row>
    <row r="4" spans="1:19" s="281" customFormat="1" ht="24.75" customHeight="1" x14ac:dyDescent="0.2">
      <c r="A4" s="279"/>
      <c r="B4" s="1848" t="s">
        <v>107</v>
      </c>
      <c r="C4" s="1848"/>
      <c r="D4" s="1848"/>
      <c r="E4" s="1848"/>
      <c r="F4" s="1848"/>
      <c r="G4" s="1848"/>
      <c r="H4" s="1848"/>
      <c r="I4" s="1848"/>
      <c r="J4" s="1848"/>
      <c r="K4" s="1848"/>
      <c r="L4" s="1848"/>
      <c r="M4" s="1848"/>
      <c r="N4" s="1848"/>
      <c r="O4" s="1848"/>
      <c r="P4" s="1848"/>
      <c r="Q4" s="1848"/>
      <c r="R4" s="1848"/>
      <c r="S4" s="136"/>
    </row>
    <row r="5" spans="1:19" s="281" customFormat="1" ht="24.75" customHeight="1" x14ac:dyDescent="0.2">
      <c r="A5" s="279"/>
      <c r="B5" s="1848" t="s">
        <v>581</v>
      </c>
      <c r="C5" s="1848"/>
      <c r="D5" s="1848"/>
      <c r="E5" s="1848"/>
      <c r="F5" s="1848"/>
      <c r="G5" s="1848"/>
      <c r="H5" s="1848"/>
      <c r="I5" s="1848"/>
      <c r="J5" s="1848"/>
      <c r="K5" s="1848"/>
      <c r="L5" s="1848"/>
      <c r="M5" s="1848"/>
      <c r="N5" s="1848"/>
      <c r="O5" s="1848"/>
      <c r="P5" s="1848"/>
      <c r="Q5" s="1848"/>
      <c r="R5" s="1848"/>
      <c r="S5" s="136"/>
    </row>
    <row r="6" spans="1:19" ht="18" customHeight="1" x14ac:dyDescent="0.3">
      <c r="A6" s="279"/>
      <c r="B6" s="282"/>
      <c r="C6" s="87"/>
      <c r="D6" s="87"/>
      <c r="E6" s="87"/>
      <c r="F6" s="283"/>
      <c r="G6" s="283"/>
      <c r="H6" s="283"/>
      <c r="I6" s="283"/>
      <c r="J6" s="283"/>
      <c r="K6" s="283"/>
      <c r="L6" s="283"/>
      <c r="M6" s="283"/>
      <c r="N6" s="283"/>
      <c r="O6" s="283"/>
      <c r="P6" s="283"/>
      <c r="Q6" s="283"/>
      <c r="R6" s="65" t="s">
        <v>0</v>
      </c>
      <c r="S6" s="283"/>
    </row>
    <row r="7" spans="1:19" s="279" customFormat="1" ht="18" customHeight="1" thickBot="1" x14ac:dyDescent="0.25">
      <c r="B7" s="279" t="s">
        <v>1</v>
      </c>
      <c r="C7" s="279" t="s">
        <v>3</v>
      </c>
      <c r="D7" s="1849" t="s">
        <v>2</v>
      </c>
      <c r="E7" s="1849"/>
      <c r="F7" s="279" t="s">
        <v>4</v>
      </c>
      <c r="G7" s="279" t="s">
        <v>5</v>
      </c>
      <c r="H7" s="279" t="s">
        <v>15</v>
      </c>
      <c r="I7" s="279" t="s">
        <v>16</v>
      </c>
      <c r="J7" s="279" t="s">
        <v>17</v>
      </c>
      <c r="K7" s="279" t="s">
        <v>32</v>
      </c>
      <c r="L7" s="279" t="s">
        <v>28</v>
      </c>
      <c r="M7" s="279" t="s">
        <v>23</v>
      </c>
      <c r="N7" s="279" t="s">
        <v>33</v>
      </c>
      <c r="O7" s="279" t="s">
        <v>34</v>
      </c>
      <c r="P7" s="279" t="s">
        <v>122</v>
      </c>
      <c r="Q7" s="279" t="s">
        <v>123</v>
      </c>
      <c r="R7" s="279" t="s">
        <v>124</v>
      </c>
    </row>
    <row r="8" spans="1:19" s="282" customFormat="1" ht="30" customHeight="1" x14ac:dyDescent="0.2">
      <c r="A8" s="279"/>
      <c r="B8" s="1850" t="s">
        <v>18</v>
      </c>
      <c r="C8" s="1852" t="s">
        <v>19</v>
      </c>
      <c r="D8" s="1854" t="s">
        <v>6</v>
      </c>
      <c r="E8" s="1855"/>
      <c r="F8" s="1858" t="s">
        <v>404</v>
      </c>
      <c r="G8" s="1858" t="s">
        <v>500</v>
      </c>
      <c r="H8" s="1860" t="s">
        <v>710</v>
      </c>
      <c r="I8" s="1863" t="s">
        <v>592</v>
      </c>
      <c r="J8" s="1865" t="s">
        <v>108</v>
      </c>
      <c r="K8" s="1865"/>
      <c r="L8" s="1865"/>
      <c r="M8" s="1843" t="s">
        <v>109</v>
      </c>
      <c r="N8" s="1843"/>
      <c r="O8" s="1843"/>
      <c r="P8" s="1843" t="s">
        <v>213</v>
      </c>
      <c r="Q8" s="1843" t="s">
        <v>110</v>
      </c>
      <c r="R8" s="1843"/>
    </row>
    <row r="9" spans="1:19" ht="45.75" thickBot="1" x14ac:dyDescent="0.25">
      <c r="A9" s="279"/>
      <c r="B9" s="1851"/>
      <c r="C9" s="1853"/>
      <c r="D9" s="1856"/>
      <c r="E9" s="1857"/>
      <c r="F9" s="1859"/>
      <c r="G9" s="1859"/>
      <c r="H9" s="1861"/>
      <c r="I9" s="1864"/>
      <c r="J9" s="526" t="s">
        <v>111</v>
      </c>
      <c r="K9" s="526" t="s">
        <v>635</v>
      </c>
      <c r="L9" s="526" t="s">
        <v>112</v>
      </c>
      <c r="M9" s="526" t="s">
        <v>113</v>
      </c>
      <c r="N9" s="526" t="s">
        <v>634</v>
      </c>
      <c r="O9" s="526" t="s">
        <v>114</v>
      </c>
      <c r="P9" s="1862"/>
      <c r="Q9" s="526" t="s">
        <v>101</v>
      </c>
      <c r="R9" s="285" t="s">
        <v>258</v>
      </c>
      <c r="S9" s="283"/>
    </row>
    <row r="10" spans="1:19" s="87" customFormat="1" ht="22.5" customHeight="1" x14ac:dyDescent="0.3">
      <c r="A10" s="279">
        <v>1</v>
      </c>
      <c r="B10" s="286">
        <v>1</v>
      </c>
      <c r="C10" s="287"/>
      <c r="D10" s="288" t="s">
        <v>248</v>
      </c>
      <c r="E10" s="289"/>
      <c r="F10" s="290">
        <v>322340</v>
      </c>
      <c r="G10" s="290">
        <v>373089</v>
      </c>
      <c r="H10" s="291">
        <v>407643</v>
      </c>
      <c r="I10" s="292"/>
      <c r="J10" s="290"/>
      <c r="K10" s="290"/>
      <c r="L10" s="290"/>
      <c r="M10" s="290"/>
      <c r="N10" s="290"/>
      <c r="O10" s="290"/>
      <c r="P10" s="290"/>
      <c r="Q10" s="290"/>
      <c r="R10" s="519"/>
    </row>
    <row r="11" spans="1:19" s="87" customFormat="1" ht="18" customHeight="1" x14ac:dyDescent="0.3">
      <c r="A11" s="279">
        <v>2</v>
      </c>
      <c r="B11" s="293"/>
      <c r="C11" s="294"/>
      <c r="D11" s="295" t="s">
        <v>252</v>
      </c>
      <c r="E11" s="527"/>
      <c r="F11" s="296"/>
      <c r="G11" s="296"/>
      <c r="H11" s="297"/>
      <c r="I11" s="298"/>
      <c r="J11" s="296"/>
      <c r="K11" s="296"/>
      <c r="L11" s="296"/>
      <c r="M11" s="296"/>
      <c r="N11" s="296"/>
      <c r="O11" s="296"/>
      <c r="P11" s="296"/>
      <c r="Q11" s="296"/>
      <c r="R11" s="447"/>
    </row>
    <row r="12" spans="1:19" s="307" customFormat="1" ht="18" customHeight="1" x14ac:dyDescent="0.3">
      <c r="A12" s="279">
        <v>3</v>
      </c>
      <c r="B12" s="300"/>
      <c r="C12" s="301"/>
      <c r="D12" s="302"/>
      <c r="E12" s="371" t="s">
        <v>245</v>
      </c>
      <c r="F12" s="304"/>
      <c r="G12" s="304"/>
      <c r="H12" s="305"/>
      <c r="I12" s="242">
        <f>SUM(J12:Q12)</f>
        <v>414088</v>
      </c>
      <c r="J12" s="304">
        <v>9114</v>
      </c>
      <c r="K12" s="304"/>
      <c r="L12" s="304"/>
      <c r="M12" s="304"/>
      <c r="N12" s="304"/>
      <c r="O12" s="304"/>
      <c r="P12" s="304">
        <v>14190</v>
      </c>
      <c r="Q12" s="304">
        <v>390784</v>
      </c>
      <c r="R12" s="520">
        <v>299286</v>
      </c>
      <c r="S12" s="306"/>
    </row>
    <row r="13" spans="1:19" s="307" customFormat="1" ht="18" customHeight="1" x14ac:dyDescent="0.3">
      <c r="A13" s="279">
        <v>4</v>
      </c>
      <c r="B13" s="300"/>
      <c r="C13" s="301"/>
      <c r="D13" s="302"/>
      <c r="E13" s="377" t="s">
        <v>810</v>
      </c>
      <c r="F13" s="304"/>
      <c r="G13" s="304"/>
      <c r="H13" s="305"/>
      <c r="I13" s="914">
        <f>SUM(J13:Q13)</f>
        <v>430628</v>
      </c>
      <c r="J13" s="443">
        <v>9114</v>
      </c>
      <c r="K13" s="443"/>
      <c r="L13" s="443"/>
      <c r="M13" s="443"/>
      <c r="N13" s="443"/>
      <c r="O13" s="443"/>
      <c r="P13" s="443">
        <v>28847</v>
      </c>
      <c r="Q13" s="443">
        <v>392667</v>
      </c>
      <c r="R13" s="1463">
        <v>299286</v>
      </c>
      <c r="S13" s="306"/>
    </row>
    <row r="14" spans="1:19" s="307" customFormat="1" ht="18" customHeight="1" x14ac:dyDescent="0.3">
      <c r="A14" s="279">
        <v>5</v>
      </c>
      <c r="B14" s="300"/>
      <c r="C14" s="301"/>
      <c r="D14" s="302"/>
      <c r="E14" s="910" t="s">
        <v>890</v>
      </c>
      <c r="F14" s="304"/>
      <c r="G14" s="304"/>
      <c r="H14" s="305"/>
      <c r="I14" s="913">
        <f>SUM(J14:Q14)</f>
        <v>1411</v>
      </c>
      <c r="J14" s="304"/>
      <c r="K14" s="304"/>
      <c r="L14" s="304"/>
      <c r="M14" s="304"/>
      <c r="N14" s="304"/>
      <c r="O14" s="304"/>
      <c r="P14" s="299"/>
      <c r="Q14" s="913">
        <v>1411</v>
      </c>
      <c r="R14" s="447">
        <v>1411</v>
      </c>
      <c r="S14" s="306"/>
    </row>
    <row r="15" spans="1:19" s="307" customFormat="1" ht="18" customHeight="1" x14ac:dyDescent="0.3">
      <c r="A15" s="279">
        <v>6</v>
      </c>
      <c r="B15" s="300"/>
      <c r="C15" s="301"/>
      <c r="D15" s="302"/>
      <c r="E15" s="910" t="s">
        <v>891</v>
      </c>
      <c r="F15" s="304"/>
      <c r="G15" s="304"/>
      <c r="H15" s="305"/>
      <c r="I15" s="913">
        <f t="shared" ref="I15:I17" si="0">SUM(J15:Q15)</f>
        <v>0</v>
      </c>
      <c r="J15" s="304"/>
      <c r="K15" s="304"/>
      <c r="L15" s="304"/>
      <c r="M15" s="304"/>
      <c r="N15" s="304"/>
      <c r="O15" s="304"/>
      <c r="P15" s="299"/>
      <c r="Q15" s="913"/>
      <c r="R15" s="447">
        <v>-19</v>
      </c>
      <c r="S15" s="306"/>
    </row>
    <row r="16" spans="1:19" s="307" customFormat="1" ht="18" customHeight="1" x14ac:dyDescent="0.3">
      <c r="A16" s="279">
        <v>7</v>
      </c>
      <c r="B16" s="300"/>
      <c r="C16" s="301"/>
      <c r="D16" s="302"/>
      <c r="E16" s="910" t="s">
        <v>892</v>
      </c>
      <c r="F16" s="304"/>
      <c r="G16" s="304"/>
      <c r="H16" s="305"/>
      <c r="I16" s="913">
        <f t="shared" si="0"/>
        <v>0</v>
      </c>
      <c r="J16" s="304"/>
      <c r="K16" s="304"/>
      <c r="L16" s="304"/>
      <c r="M16" s="304"/>
      <c r="N16" s="304"/>
      <c r="O16" s="304"/>
      <c r="P16" s="299"/>
      <c r="Q16" s="913"/>
      <c r="R16" s="447">
        <v>2189</v>
      </c>
      <c r="S16" s="306"/>
    </row>
    <row r="17" spans="1:19" s="307" customFormat="1" ht="18" customHeight="1" x14ac:dyDescent="0.3">
      <c r="A17" s="279">
        <v>8</v>
      </c>
      <c r="B17" s="300"/>
      <c r="C17" s="301"/>
      <c r="D17" s="302"/>
      <c r="E17" s="910" t="s">
        <v>908</v>
      </c>
      <c r="F17" s="304"/>
      <c r="G17" s="304"/>
      <c r="H17" s="305"/>
      <c r="I17" s="913">
        <f t="shared" si="0"/>
        <v>3501</v>
      </c>
      <c r="J17" s="304"/>
      <c r="K17" s="304"/>
      <c r="L17" s="304"/>
      <c r="M17" s="304"/>
      <c r="N17" s="304"/>
      <c r="O17" s="304"/>
      <c r="P17" s="299"/>
      <c r="Q17" s="913">
        <v>3501</v>
      </c>
      <c r="R17" s="447"/>
      <c r="S17" s="306"/>
    </row>
    <row r="18" spans="1:19" s="307" customFormat="1" ht="18" customHeight="1" x14ac:dyDescent="0.3">
      <c r="A18" s="279">
        <v>9</v>
      </c>
      <c r="B18" s="300"/>
      <c r="C18" s="301"/>
      <c r="D18" s="302"/>
      <c r="E18" s="377" t="s">
        <v>858</v>
      </c>
      <c r="F18" s="304"/>
      <c r="G18" s="304"/>
      <c r="H18" s="305"/>
      <c r="I18" s="914">
        <f>SUM(J18:Q18)</f>
        <v>435540</v>
      </c>
      <c r="J18" s="443">
        <f>SUM(J13:J17)</f>
        <v>9114</v>
      </c>
      <c r="K18" s="443"/>
      <c r="L18" s="443"/>
      <c r="M18" s="443"/>
      <c r="N18" s="443"/>
      <c r="O18" s="443"/>
      <c r="P18" s="443">
        <f>SUM(P13:P17)</f>
        <v>28847</v>
      </c>
      <c r="Q18" s="443">
        <f>SUM(Q13:Q17)</f>
        <v>397579</v>
      </c>
      <c r="R18" s="921">
        <f>SUM(R13:R17)</f>
        <v>302867</v>
      </c>
      <c r="S18" s="306"/>
    </row>
    <row r="19" spans="1:19" s="309" customFormat="1" ht="22.5" customHeight="1" x14ac:dyDescent="0.3">
      <c r="A19" s="279">
        <v>10</v>
      </c>
      <c r="B19" s="293">
        <v>2</v>
      </c>
      <c r="C19" s="294"/>
      <c r="D19" s="308" t="s">
        <v>257</v>
      </c>
      <c r="E19" s="308"/>
      <c r="F19" s="296">
        <v>525927</v>
      </c>
      <c r="G19" s="296">
        <v>612920</v>
      </c>
      <c r="H19" s="297">
        <v>645806</v>
      </c>
      <c r="I19" s="298"/>
      <c r="J19" s="296"/>
      <c r="K19" s="296"/>
      <c r="L19" s="296"/>
      <c r="M19" s="296"/>
      <c r="N19" s="296"/>
      <c r="O19" s="296"/>
      <c r="P19" s="296"/>
      <c r="Q19" s="296"/>
      <c r="R19" s="447"/>
    </row>
    <row r="20" spans="1:19" s="309" customFormat="1" ht="18" customHeight="1" x14ac:dyDescent="0.3">
      <c r="A20" s="279">
        <v>11</v>
      </c>
      <c r="B20" s="293"/>
      <c r="C20" s="294"/>
      <c r="D20" s="527" t="s">
        <v>246</v>
      </c>
      <c r="E20" s="527"/>
      <c r="F20" s="296"/>
      <c r="G20" s="296"/>
      <c r="H20" s="297"/>
      <c r="I20" s="298"/>
      <c r="J20" s="296"/>
      <c r="K20" s="296"/>
      <c r="L20" s="296"/>
      <c r="M20" s="296"/>
      <c r="N20" s="296"/>
      <c r="O20" s="296"/>
      <c r="P20" s="296"/>
      <c r="Q20" s="296"/>
      <c r="R20" s="447"/>
    </row>
    <row r="21" spans="1:19" s="310" customFormat="1" ht="18" customHeight="1" x14ac:dyDescent="0.3">
      <c r="A21" s="279">
        <v>12</v>
      </c>
      <c r="B21" s="300"/>
      <c r="C21" s="301"/>
      <c r="D21" s="302"/>
      <c r="E21" s="371" t="s">
        <v>245</v>
      </c>
      <c r="F21" s="304"/>
      <c r="G21" s="304"/>
      <c r="H21" s="305"/>
      <c r="I21" s="242">
        <f t="shared" ref="I21:I25" si="1">SUM(J21:Q21)</f>
        <v>652476</v>
      </c>
      <c r="J21" s="304">
        <v>13123</v>
      </c>
      <c r="K21" s="304"/>
      <c r="L21" s="304"/>
      <c r="M21" s="304"/>
      <c r="N21" s="304"/>
      <c r="O21" s="304"/>
      <c r="P21" s="304">
        <v>30513</v>
      </c>
      <c r="Q21" s="304">
        <v>608840</v>
      </c>
      <c r="R21" s="520">
        <v>437671</v>
      </c>
    </row>
    <row r="22" spans="1:19" s="310" customFormat="1" ht="18" customHeight="1" x14ac:dyDescent="0.3">
      <c r="A22" s="279">
        <v>13</v>
      </c>
      <c r="B22" s="300"/>
      <c r="C22" s="301"/>
      <c r="D22" s="302"/>
      <c r="E22" s="377" t="s">
        <v>810</v>
      </c>
      <c r="F22" s="304"/>
      <c r="G22" s="304"/>
      <c r="H22" s="305"/>
      <c r="I22" s="914">
        <f t="shared" si="1"/>
        <v>684470</v>
      </c>
      <c r="J22" s="443">
        <v>13123</v>
      </c>
      <c r="K22" s="443"/>
      <c r="L22" s="443"/>
      <c r="M22" s="443"/>
      <c r="N22" s="443"/>
      <c r="O22" s="443"/>
      <c r="P22" s="443">
        <v>45343</v>
      </c>
      <c r="Q22" s="443">
        <v>626004</v>
      </c>
      <c r="R22" s="1463">
        <v>437671</v>
      </c>
    </row>
    <row r="23" spans="1:19" s="310" customFormat="1" ht="18" customHeight="1" x14ac:dyDescent="0.3">
      <c r="A23" s="279">
        <v>14</v>
      </c>
      <c r="B23" s="300"/>
      <c r="C23" s="301"/>
      <c r="D23" s="302"/>
      <c r="E23" s="910" t="s">
        <v>890</v>
      </c>
      <c r="F23" s="304"/>
      <c r="G23" s="304"/>
      <c r="H23" s="305"/>
      <c r="I23" s="913">
        <f t="shared" si="1"/>
        <v>2154</v>
      </c>
      <c r="J23" s="304"/>
      <c r="K23" s="304"/>
      <c r="L23" s="304"/>
      <c r="M23" s="304"/>
      <c r="N23" s="304"/>
      <c r="O23" s="304"/>
      <c r="P23" s="299"/>
      <c r="Q23" s="913">
        <v>2154</v>
      </c>
      <c r="R23" s="447">
        <v>2154</v>
      </c>
    </row>
    <row r="24" spans="1:19" s="310" customFormat="1" ht="18" customHeight="1" x14ac:dyDescent="0.3">
      <c r="A24" s="279">
        <v>15</v>
      </c>
      <c r="B24" s="300"/>
      <c r="C24" s="301"/>
      <c r="D24" s="302"/>
      <c r="E24" s="910" t="s">
        <v>892</v>
      </c>
      <c r="F24" s="304"/>
      <c r="G24" s="304"/>
      <c r="H24" s="305"/>
      <c r="I24" s="913">
        <f t="shared" si="1"/>
        <v>0</v>
      </c>
      <c r="J24" s="242"/>
      <c r="K24" s="242"/>
      <c r="L24" s="242"/>
      <c r="M24" s="242"/>
      <c r="N24" s="242"/>
      <c r="O24" s="242"/>
      <c r="P24" s="913"/>
      <c r="Q24" s="913"/>
      <c r="R24" s="925">
        <v>2732</v>
      </c>
    </row>
    <row r="25" spans="1:19" s="310" customFormat="1" ht="18" customHeight="1" x14ac:dyDescent="0.3">
      <c r="A25" s="279">
        <v>16</v>
      </c>
      <c r="B25" s="300"/>
      <c r="C25" s="301"/>
      <c r="D25" s="302"/>
      <c r="E25" s="377" t="s">
        <v>858</v>
      </c>
      <c r="F25" s="304"/>
      <c r="G25" s="304"/>
      <c r="H25" s="305"/>
      <c r="I25" s="914">
        <f t="shared" si="1"/>
        <v>686624</v>
      </c>
      <c r="J25" s="914">
        <f>SUM(J22:J24)</f>
        <v>13123</v>
      </c>
      <c r="K25" s="914"/>
      <c r="L25" s="914"/>
      <c r="M25" s="914"/>
      <c r="N25" s="914"/>
      <c r="O25" s="914"/>
      <c r="P25" s="914">
        <f>SUM(P22:P24)</f>
        <v>45343</v>
      </c>
      <c r="Q25" s="914">
        <f>SUM(Q22:Q24)</f>
        <v>628158</v>
      </c>
      <c r="R25" s="1388">
        <f>SUM(R22:R24)</f>
        <v>442557</v>
      </c>
    </row>
    <row r="26" spans="1:19" s="311" customFormat="1" ht="22.5" customHeight="1" x14ac:dyDescent="0.3">
      <c r="A26" s="279">
        <v>17</v>
      </c>
      <c r="B26" s="293">
        <v>3</v>
      </c>
      <c r="C26" s="294"/>
      <c r="D26" s="308" t="s">
        <v>216</v>
      </c>
      <c r="E26" s="308"/>
      <c r="F26" s="296">
        <v>557357</v>
      </c>
      <c r="G26" s="296">
        <v>616909</v>
      </c>
      <c r="H26" s="297">
        <v>656186</v>
      </c>
      <c r="I26" s="298"/>
      <c r="J26" s="296"/>
      <c r="K26" s="296"/>
      <c r="L26" s="296"/>
      <c r="M26" s="296"/>
      <c r="N26" s="296"/>
      <c r="O26" s="296"/>
      <c r="P26" s="296"/>
      <c r="Q26" s="296"/>
      <c r="R26" s="447"/>
    </row>
    <row r="27" spans="1:19" s="87" customFormat="1" ht="18" customHeight="1" x14ac:dyDescent="0.3">
      <c r="A27" s="279">
        <v>18</v>
      </c>
      <c r="B27" s="312"/>
      <c r="C27" s="294"/>
      <c r="D27" s="313" t="s">
        <v>115</v>
      </c>
      <c r="E27" s="313"/>
      <c r="F27" s="314"/>
      <c r="G27" s="314"/>
      <c r="H27" s="315"/>
      <c r="I27" s="316"/>
      <c r="J27" s="314"/>
      <c r="K27" s="314"/>
      <c r="L27" s="314"/>
      <c r="M27" s="314"/>
      <c r="N27" s="314"/>
      <c r="O27" s="314"/>
      <c r="P27" s="314"/>
      <c r="Q27" s="314"/>
      <c r="R27" s="521"/>
    </row>
    <row r="28" spans="1:19" s="307" customFormat="1" ht="18" customHeight="1" x14ac:dyDescent="0.3">
      <c r="A28" s="279">
        <v>19</v>
      </c>
      <c r="B28" s="300"/>
      <c r="C28" s="301"/>
      <c r="D28" s="302"/>
      <c r="E28" s="371" t="s">
        <v>245</v>
      </c>
      <c r="F28" s="304"/>
      <c r="G28" s="304"/>
      <c r="H28" s="305"/>
      <c r="I28" s="242">
        <f>SUM(J28:Q28)</f>
        <v>701980</v>
      </c>
      <c r="J28" s="304">
        <v>13115</v>
      </c>
      <c r="K28" s="304"/>
      <c r="L28" s="304"/>
      <c r="M28" s="304"/>
      <c r="N28" s="304"/>
      <c r="O28" s="304"/>
      <c r="P28" s="304">
        <v>38631</v>
      </c>
      <c r="Q28" s="304">
        <v>650234</v>
      </c>
      <c r="R28" s="520">
        <v>568229</v>
      </c>
      <c r="S28" s="306"/>
    </row>
    <row r="29" spans="1:19" s="307" customFormat="1" ht="18" customHeight="1" x14ac:dyDescent="0.3">
      <c r="A29" s="279">
        <v>20</v>
      </c>
      <c r="B29" s="300"/>
      <c r="C29" s="301"/>
      <c r="D29" s="302"/>
      <c r="E29" s="377" t="s">
        <v>810</v>
      </c>
      <c r="F29" s="304"/>
      <c r="G29" s="304"/>
      <c r="H29" s="305"/>
      <c r="I29" s="914">
        <f>SUM(J29:Q29)</f>
        <v>727225</v>
      </c>
      <c r="J29" s="443">
        <v>13115</v>
      </c>
      <c r="K29" s="443"/>
      <c r="L29" s="443"/>
      <c r="M29" s="443"/>
      <c r="N29" s="443"/>
      <c r="O29" s="443"/>
      <c r="P29" s="443">
        <v>52138</v>
      </c>
      <c r="Q29" s="443">
        <v>661972</v>
      </c>
      <c r="R29" s="1463">
        <v>568229</v>
      </c>
      <c r="S29" s="306"/>
    </row>
    <row r="30" spans="1:19" s="307" customFormat="1" ht="18" customHeight="1" x14ac:dyDescent="0.3">
      <c r="A30" s="279">
        <v>21</v>
      </c>
      <c r="B30" s="300"/>
      <c r="C30" s="301"/>
      <c r="D30" s="302"/>
      <c r="E30" s="910" t="s">
        <v>890</v>
      </c>
      <c r="F30" s="304"/>
      <c r="G30" s="304"/>
      <c r="H30" s="305"/>
      <c r="I30" s="913">
        <f>SUM(J30:Q30)</f>
        <v>2182</v>
      </c>
      <c r="J30" s="304"/>
      <c r="K30" s="304"/>
      <c r="L30" s="304"/>
      <c r="M30" s="304"/>
      <c r="N30" s="304"/>
      <c r="O30" s="304"/>
      <c r="P30" s="299"/>
      <c r="Q30" s="299">
        <v>2182</v>
      </c>
      <c r="R30" s="447">
        <v>2182</v>
      </c>
      <c r="S30" s="306"/>
    </row>
    <row r="31" spans="1:19" s="307" customFormat="1" ht="18" customHeight="1" x14ac:dyDescent="0.3">
      <c r="A31" s="279">
        <v>22</v>
      </c>
      <c r="B31" s="300"/>
      <c r="C31" s="301"/>
      <c r="D31" s="302"/>
      <c r="E31" s="910" t="s">
        <v>891</v>
      </c>
      <c r="F31" s="304"/>
      <c r="G31" s="304"/>
      <c r="H31" s="305"/>
      <c r="I31" s="913">
        <f t="shared" ref="I31:I34" si="2">SUM(J31:Q31)</f>
        <v>0</v>
      </c>
      <c r="J31" s="304"/>
      <c r="K31" s="304"/>
      <c r="L31" s="304"/>
      <c r="M31" s="304"/>
      <c r="N31" s="304"/>
      <c r="O31" s="304"/>
      <c r="P31" s="299"/>
      <c r="Q31" s="299"/>
      <c r="R31" s="447">
        <v>-3835</v>
      </c>
      <c r="S31" s="306"/>
    </row>
    <row r="32" spans="1:19" s="307" customFormat="1" ht="18" customHeight="1" x14ac:dyDescent="0.3">
      <c r="A32" s="279">
        <v>23</v>
      </c>
      <c r="B32" s="300"/>
      <c r="C32" s="301"/>
      <c r="D32" s="302"/>
      <c r="E32" s="910" t="s">
        <v>892</v>
      </c>
      <c r="F32" s="304"/>
      <c r="G32" s="304"/>
      <c r="H32" s="305"/>
      <c r="I32" s="913">
        <f t="shared" si="2"/>
        <v>0</v>
      </c>
      <c r="J32" s="304"/>
      <c r="K32" s="304"/>
      <c r="L32" s="304"/>
      <c r="M32" s="304"/>
      <c r="N32" s="304"/>
      <c r="O32" s="304"/>
      <c r="P32" s="299"/>
      <c r="Q32" s="299"/>
      <c r="R32" s="447">
        <v>3280</v>
      </c>
      <c r="S32" s="306"/>
    </row>
    <row r="33" spans="1:19" s="307" customFormat="1" ht="18" customHeight="1" x14ac:dyDescent="0.3">
      <c r="A33" s="279">
        <v>24</v>
      </c>
      <c r="B33" s="300"/>
      <c r="C33" s="301"/>
      <c r="D33" s="302"/>
      <c r="E33" s="910" t="s">
        <v>908</v>
      </c>
      <c r="F33" s="304"/>
      <c r="G33" s="304"/>
      <c r="H33" s="305"/>
      <c r="I33" s="913">
        <f t="shared" si="2"/>
        <v>5361</v>
      </c>
      <c r="J33" s="304"/>
      <c r="K33" s="304"/>
      <c r="L33" s="304"/>
      <c r="M33" s="304"/>
      <c r="N33" s="304"/>
      <c r="O33" s="304"/>
      <c r="P33" s="299"/>
      <c r="Q33" s="299">
        <v>5361</v>
      </c>
      <c r="R33" s="447"/>
      <c r="S33" s="306"/>
    </row>
    <row r="34" spans="1:19" s="307" customFormat="1" ht="18" customHeight="1" x14ac:dyDescent="0.3">
      <c r="A34" s="279">
        <v>25</v>
      </c>
      <c r="B34" s="300"/>
      <c r="C34" s="301"/>
      <c r="D34" s="302"/>
      <c r="E34" s="910" t="s">
        <v>1061</v>
      </c>
      <c r="F34" s="304"/>
      <c r="G34" s="304"/>
      <c r="H34" s="305"/>
      <c r="I34" s="913">
        <f t="shared" si="2"/>
        <v>200</v>
      </c>
      <c r="J34" s="304"/>
      <c r="K34" s="304"/>
      <c r="L34" s="304"/>
      <c r="M34" s="304"/>
      <c r="N34" s="304"/>
      <c r="O34" s="304"/>
      <c r="P34" s="299"/>
      <c r="Q34" s="299">
        <v>200</v>
      </c>
      <c r="R34" s="447"/>
      <c r="S34" s="306"/>
    </row>
    <row r="35" spans="1:19" s="307" customFormat="1" ht="18" customHeight="1" x14ac:dyDescent="0.3">
      <c r="A35" s="279">
        <v>26</v>
      </c>
      <c r="B35" s="300"/>
      <c r="C35" s="301"/>
      <c r="D35" s="302"/>
      <c r="E35" s="377" t="s">
        <v>858</v>
      </c>
      <c r="F35" s="304"/>
      <c r="G35" s="304"/>
      <c r="H35" s="305"/>
      <c r="I35" s="914">
        <f>SUM(J35:Q35)</f>
        <v>734968</v>
      </c>
      <c r="J35" s="443">
        <f>SUM(J29:J34)</f>
        <v>13115</v>
      </c>
      <c r="K35" s="443"/>
      <c r="L35" s="443"/>
      <c r="M35" s="443"/>
      <c r="N35" s="443"/>
      <c r="O35" s="443"/>
      <c r="P35" s="443">
        <f>SUM(P29:P34)</f>
        <v>52138</v>
      </c>
      <c r="Q35" s="443">
        <f>SUM(Q29:Q34)</f>
        <v>669715</v>
      </c>
      <c r="R35" s="921">
        <f t="shared" ref="R35" si="3">SUM(R29:R34)</f>
        <v>569856</v>
      </c>
      <c r="S35" s="306"/>
    </row>
    <row r="36" spans="1:19" s="309" customFormat="1" ht="22.5" customHeight="1" x14ac:dyDescent="0.3">
      <c r="A36" s="279">
        <v>27</v>
      </c>
      <c r="B36" s="293">
        <v>4</v>
      </c>
      <c r="C36" s="294"/>
      <c r="D36" s="317" t="s">
        <v>217</v>
      </c>
      <c r="E36" s="317"/>
      <c r="F36" s="296">
        <v>485238</v>
      </c>
      <c r="G36" s="296">
        <v>539457</v>
      </c>
      <c r="H36" s="297">
        <v>580767</v>
      </c>
      <c r="I36" s="298"/>
      <c r="J36" s="296"/>
      <c r="K36" s="296"/>
      <c r="L36" s="296"/>
      <c r="M36" s="296"/>
      <c r="N36" s="296"/>
      <c r="O36" s="296"/>
      <c r="P36" s="296"/>
      <c r="Q36" s="296"/>
      <c r="R36" s="447"/>
    </row>
    <row r="37" spans="1:19" s="311" customFormat="1" ht="18" customHeight="1" x14ac:dyDescent="0.3">
      <c r="A37" s="279">
        <v>28</v>
      </c>
      <c r="B37" s="312"/>
      <c r="C37" s="294"/>
      <c r="D37" s="313" t="s">
        <v>116</v>
      </c>
      <c r="E37" s="313"/>
      <c r="F37" s="314"/>
      <c r="G37" s="314"/>
      <c r="H37" s="315"/>
      <c r="I37" s="316"/>
      <c r="J37" s="314"/>
      <c r="K37" s="314"/>
      <c r="L37" s="314"/>
      <c r="M37" s="314"/>
      <c r="N37" s="314"/>
      <c r="O37" s="314"/>
      <c r="P37" s="314"/>
      <c r="Q37" s="314"/>
      <c r="R37" s="521"/>
    </row>
    <row r="38" spans="1:19" s="318" customFormat="1" ht="18" customHeight="1" x14ac:dyDescent="0.3">
      <c r="A38" s="279">
        <v>29</v>
      </c>
      <c r="B38" s="300"/>
      <c r="C38" s="301"/>
      <c r="D38" s="302"/>
      <c r="E38" s="371" t="s">
        <v>245</v>
      </c>
      <c r="F38" s="304"/>
      <c r="G38" s="304"/>
      <c r="H38" s="305"/>
      <c r="I38" s="242">
        <f>SUM(J38:Q38)</f>
        <v>616150</v>
      </c>
      <c r="J38" s="304">
        <v>21962</v>
      </c>
      <c r="K38" s="304"/>
      <c r="L38" s="304"/>
      <c r="M38" s="304"/>
      <c r="N38" s="304"/>
      <c r="O38" s="304"/>
      <c r="P38" s="304">
        <v>15378</v>
      </c>
      <c r="Q38" s="304">
        <v>578810</v>
      </c>
      <c r="R38" s="520">
        <v>492794</v>
      </c>
    </row>
    <row r="39" spans="1:19" s="318" customFormat="1" ht="18" customHeight="1" x14ac:dyDescent="0.3">
      <c r="A39" s="279">
        <v>30</v>
      </c>
      <c r="B39" s="300"/>
      <c r="C39" s="301"/>
      <c r="D39" s="302"/>
      <c r="E39" s="377" t="s">
        <v>810</v>
      </c>
      <c r="F39" s="304"/>
      <c r="G39" s="304"/>
      <c r="H39" s="305"/>
      <c r="I39" s="914">
        <f>SUM(J39:Q39)</f>
        <v>638639</v>
      </c>
      <c r="J39" s="443">
        <v>21962</v>
      </c>
      <c r="K39" s="443"/>
      <c r="L39" s="443"/>
      <c r="M39" s="443"/>
      <c r="N39" s="443"/>
      <c r="O39" s="443"/>
      <c r="P39" s="443">
        <v>32523</v>
      </c>
      <c r="Q39" s="443">
        <v>584154</v>
      </c>
      <c r="R39" s="1463">
        <v>492794</v>
      </c>
    </row>
    <row r="40" spans="1:19" s="318" customFormat="1" ht="18" customHeight="1" x14ac:dyDescent="0.3">
      <c r="A40" s="279">
        <v>31</v>
      </c>
      <c r="B40" s="300"/>
      <c r="C40" s="301"/>
      <c r="D40" s="302"/>
      <c r="E40" s="910" t="s">
        <v>890</v>
      </c>
      <c r="F40" s="304"/>
      <c r="G40" s="304"/>
      <c r="H40" s="305"/>
      <c r="I40" s="913">
        <f>SUM(J40:Q40)</f>
        <v>2403</v>
      </c>
      <c r="J40" s="304"/>
      <c r="K40" s="304"/>
      <c r="L40" s="304"/>
      <c r="M40" s="304"/>
      <c r="N40" s="304"/>
      <c r="O40" s="304"/>
      <c r="P40" s="299"/>
      <c r="Q40" s="299">
        <v>2403</v>
      </c>
      <c r="R40" s="447">
        <v>2403</v>
      </c>
    </row>
    <row r="41" spans="1:19" s="318" customFormat="1" ht="18" customHeight="1" x14ac:dyDescent="0.3">
      <c r="A41" s="279">
        <v>32</v>
      </c>
      <c r="B41" s="300"/>
      <c r="C41" s="301"/>
      <c r="D41" s="302"/>
      <c r="E41" s="910" t="s">
        <v>892</v>
      </c>
      <c r="F41" s="304"/>
      <c r="G41" s="304"/>
      <c r="H41" s="305"/>
      <c r="I41" s="913">
        <f t="shared" ref="I41:I42" si="4">SUM(J41:Q41)</f>
        <v>0</v>
      </c>
      <c r="J41" s="304"/>
      <c r="K41" s="304"/>
      <c r="L41" s="304"/>
      <c r="M41" s="304"/>
      <c r="N41" s="304"/>
      <c r="O41" s="304"/>
      <c r="P41" s="299"/>
      <c r="Q41" s="299"/>
      <c r="R41" s="447">
        <v>2573</v>
      </c>
    </row>
    <row r="42" spans="1:19" s="318" customFormat="1" ht="18" customHeight="1" x14ac:dyDescent="0.3">
      <c r="A42" s="279">
        <v>33</v>
      </c>
      <c r="B42" s="300"/>
      <c r="C42" s="301"/>
      <c r="D42" s="302"/>
      <c r="E42" s="910" t="s">
        <v>908</v>
      </c>
      <c r="F42" s="304"/>
      <c r="G42" s="304"/>
      <c r="H42" s="305"/>
      <c r="I42" s="913">
        <f t="shared" si="4"/>
        <v>5153</v>
      </c>
      <c r="J42" s="304"/>
      <c r="K42" s="304"/>
      <c r="L42" s="304"/>
      <c r="M42" s="304"/>
      <c r="N42" s="304"/>
      <c r="O42" s="304"/>
      <c r="P42" s="299"/>
      <c r="Q42" s="299">
        <v>5153</v>
      </c>
      <c r="R42" s="447"/>
    </row>
    <row r="43" spans="1:19" s="318" customFormat="1" ht="18" customHeight="1" x14ac:dyDescent="0.3">
      <c r="A43" s="279">
        <v>34</v>
      </c>
      <c r="B43" s="300"/>
      <c r="C43" s="301"/>
      <c r="D43" s="302"/>
      <c r="E43" s="377" t="s">
        <v>858</v>
      </c>
      <c r="F43" s="304"/>
      <c r="G43" s="304"/>
      <c r="H43" s="305"/>
      <c r="I43" s="914">
        <f>SUM(J43:Q43)</f>
        <v>646195</v>
      </c>
      <c r="J43" s="443">
        <f>SUM(J39:J42)</f>
        <v>21962</v>
      </c>
      <c r="K43" s="443"/>
      <c r="L43" s="443"/>
      <c r="M43" s="443"/>
      <c r="N43" s="443"/>
      <c r="O43" s="443"/>
      <c r="P43" s="443">
        <f>SUM(P39:P42)</f>
        <v>32523</v>
      </c>
      <c r="Q43" s="443">
        <f>SUM(Q39:Q42)</f>
        <v>591710</v>
      </c>
      <c r="R43" s="921">
        <f>SUM(R39:R42)</f>
        <v>497770</v>
      </c>
    </row>
    <row r="44" spans="1:19" s="319" customFormat="1" ht="22.5" customHeight="1" x14ac:dyDescent="0.3">
      <c r="A44" s="279">
        <v>35</v>
      </c>
      <c r="B44" s="293">
        <v>5</v>
      </c>
      <c r="C44" s="294"/>
      <c r="D44" s="317" t="s">
        <v>218</v>
      </c>
      <c r="E44" s="317"/>
      <c r="F44" s="296">
        <v>480053</v>
      </c>
      <c r="G44" s="296">
        <v>579932</v>
      </c>
      <c r="H44" s="297">
        <v>619336</v>
      </c>
      <c r="I44" s="298"/>
      <c r="J44" s="296"/>
      <c r="K44" s="296"/>
      <c r="L44" s="296"/>
      <c r="M44" s="296"/>
      <c r="N44" s="296"/>
      <c r="O44" s="296"/>
      <c r="P44" s="296"/>
      <c r="Q44" s="296"/>
      <c r="R44" s="447"/>
    </row>
    <row r="45" spans="1:19" s="309" customFormat="1" ht="18" customHeight="1" x14ac:dyDescent="0.3">
      <c r="A45" s="279">
        <v>36</v>
      </c>
      <c r="B45" s="312"/>
      <c r="C45" s="294"/>
      <c r="D45" s="313" t="s">
        <v>117</v>
      </c>
      <c r="E45" s="313"/>
      <c r="F45" s="314"/>
      <c r="G45" s="314"/>
      <c r="H45" s="315"/>
      <c r="I45" s="316"/>
      <c r="J45" s="314"/>
      <c r="K45" s="314"/>
      <c r="L45" s="314"/>
      <c r="M45" s="314"/>
      <c r="N45" s="314"/>
      <c r="O45" s="314"/>
      <c r="P45" s="314"/>
      <c r="Q45" s="314"/>
      <c r="R45" s="521"/>
    </row>
    <row r="46" spans="1:19" s="310" customFormat="1" ht="18" customHeight="1" x14ac:dyDescent="0.3">
      <c r="A46" s="279">
        <v>37</v>
      </c>
      <c r="B46" s="300"/>
      <c r="C46" s="301"/>
      <c r="D46" s="302"/>
      <c r="E46" s="371" t="s">
        <v>245</v>
      </c>
      <c r="F46" s="304"/>
      <c r="G46" s="304"/>
      <c r="H46" s="305"/>
      <c r="I46" s="242">
        <f>SUM(J46:Q46)</f>
        <v>658480</v>
      </c>
      <c r="J46" s="304">
        <v>23185</v>
      </c>
      <c r="K46" s="304"/>
      <c r="L46" s="304"/>
      <c r="M46" s="304"/>
      <c r="N46" s="304"/>
      <c r="O46" s="304"/>
      <c r="P46" s="304">
        <v>11551</v>
      </c>
      <c r="Q46" s="304">
        <v>623744</v>
      </c>
      <c r="R46" s="520">
        <v>476317</v>
      </c>
    </row>
    <row r="47" spans="1:19" s="310" customFormat="1" ht="18" customHeight="1" x14ac:dyDescent="0.3">
      <c r="A47" s="279">
        <v>38</v>
      </c>
      <c r="B47" s="300"/>
      <c r="C47" s="301"/>
      <c r="D47" s="302"/>
      <c r="E47" s="377" t="s">
        <v>810</v>
      </c>
      <c r="F47" s="304"/>
      <c r="G47" s="304"/>
      <c r="H47" s="305"/>
      <c r="I47" s="914">
        <f>SUM(J47:Q47)</f>
        <v>692601</v>
      </c>
      <c r="J47" s="443">
        <v>23185</v>
      </c>
      <c r="K47" s="443"/>
      <c r="L47" s="443"/>
      <c r="M47" s="443"/>
      <c r="N47" s="443"/>
      <c r="O47" s="443"/>
      <c r="P47" s="443">
        <v>39340</v>
      </c>
      <c r="Q47" s="443">
        <v>630076</v>
      </c>
      <c r="R47" s="1463">
        <v>476317</v>
      </c>
    </row>
    <row r="48" spans="1:19" s="310" customFormat="1" ht="18" customHeight="1" x14ac:dyDescent="0.3">
      <c r="A48" s="279">
        <v>39</v>
      </c>
      <c r="B48" s="300"/>
      <c r="C48" s="301"/>
      <c r="D48" s="302"/>
      <c r="E48" s="910" t="s">
        <v>890</v>
      </c>
      <c r="F48" s="304"/>
      <c r="G48" s="304"/>
      <c r="H48" s="305"/>
      <c r="I48" s="913">
        <f>SUM(J48:Q48)</f>
        <v>2290</v>
      </c>
      <c r="J48" s="304"/>
      <c r="K48" s="304"/>
      <c r="L48" s="304"/>
      <c r="M48" s="304"/>
      <c r="N48" s="304"/>
      <c r="O48" s="304"/>
      <c r="P48" s="299"/>
      <c r="Q48" s="299">
        <v>2290</v>
      </c>
      <c r="R48" s="447">
        <v>2290</v>
      </c>
    </row>
    <row r="49" spans="1:19" s="310" customFormat="1" ht="18" customHeight="1" x14ac:dyDescent="0.3">
      <c r="A49" s="279">
        <v>40</v>
      </c>
      <c r="B49" s="300"/>
      <c r="C49" s="301"/>
      <c r="D49" s="302"/>
      <c r="E49" s="910" t="s">
        <v>892</v>
      </c>
      <c r="F49" s="304"/>
      <c r="G49" s="304"/>
      <c r="H49" s="305"/>
      <c r="I49" s="913">
        <f t="shared" ref="I49:I50" si="5">SUM(J49:Q49)</f>
        <v>0</v>
      </c>
      <c r="J49" s="304"/>
      <c r="K49" s="304"/>
      <c r="L49" s="304"/>
      <c r="M49" s="304"/>
      <c r="N49" s="304"/>
      <c r="O49" s="304"/>
      <c r="P49" s="299"/>
      <c r="Q49" s="299"/>
      <c r="R49" s="447">
        <v>3013</v>
      </c>
    </row>
    <row r="50" spans="1:19" s="310" customFormat="1" ht="18" customHeight="1" x14ac:dyDescent="0.3">
      <c r="A50" s="279">
        <v>41</v>
      </c>
      <c r="B50" s="300"/>
      <c r="C50" s="301"/>
      <c r="D50" s="302"/>
      <c r="E50" s="910" t="s">
        <v>908</v>
      </c>
      <c r="F50" s="304"/>
      <c r="G50" s="304"/>
      <c r="H50" s="305"/>
      <c r="I50" s="913">
        <f t="shared" si="5"/>
        <v>3014</v>
      </c>
      <c r="J50" s="304"/>
      <c r="K50" s="304"/>
      <c r="L50" s="304"/>
      <c r="M50" s="304"/>
      <c r="N50" s="304"/>
      <c r="O50" s="304"/>
      <c r="P50" s="299"/>
      <c r="Q50" s="299">
        <v>3014</v>
      </c>
      <c r="R50" s="447"/>
    </row>
    <row r="51" spans="1:19" s="310" customFormat="1" ht="18" customHeight="1" x14ac:dyDescent="0.3">
      <c r="A51" s="279">
        <v>42</v>
      </c>
      <c r="B51" s="300"/>
      <c r="C51" s="301"/>
      <c r="D51" s="302"/>
      <c r="E51" s="910" t="s">
        <v>1098</v>
      </c>
      <c r="F51" s="304"/>
      <c r="G51" s="304"/>
      <c r="H51" s="305"/>
      <c r="I51" s="913">
        <f>SUM(J51:Q51)</f>
        <v>200</v>
      </c>
      <c r="J51" s="304"/>
      <c r="K51" s="304"/>
      <c r="L51" s="304"/>
      <c r="M51" s="304"/>
      <c r="N51" s="304"/>
      <c r="O51" s="304"/>
      <c r="P51" s="299"/>
      <c r="Q51" s="299">
        <v>200</v>
      </c>
      <c r="R51" s="520"/>
    </row>
    <row r="52" spans="1:19" s="310" customFormat="1" ht="18" customHeight="1" x14ac:dyDescent="0.3">
      <c r="A52" s="279">
        <v>43</v>
      </c>
      <c r="B52" s="300"/>
      <c r="C52" s="301"/>
      <c r="D52" s="302"/>
      <c r="E52" s="377" t="s">
        <v>858</v>
      </c>
      <c r="F52" s="304"/>
      <c r="G52" s="304"/>
      <c r="H52" s="305"/>
      <c r="I52" s="914">
        <f>SUM(J52:Q52)</f>
        <v>698105</v>
      </c>
      <c r="J52" s="443">
        <f>SUM(J47:J51)</f>
        <v>23185</v>
      </c>
      <c r="K52" s="443"/>
      <c r="L52" s="443"/>
      <c r="M52" s="443"/>
      <c r="N52" s="443"/>
      <c r="O52" s="443"/>
      <c r="P52" s="443">
        <f>SUM(P47:P51)</f>
        <v>39340</v>
      </c>
      <c r="Q52" s="443">
        <f>SUM(Q47:Q51)</f>
        <v>635580</v>
      </c>
      <c r="R52" s="921">
        <f t="shared" ref="R52" si="6">SUM(R47:R51)</f>
        <v>481620</v>
      </c>
    </row>
    <row r="53" spans="1:19" s="319" customFormat="1" ht="22.5" customHeight="1" x14ac:dyDescent="0.3">
      <c r="A53" s="279">
        <v>44</v>
      </c>
      <c r="B53" s="293">
        <v>6</v>
      </c>
      <c r="C53" s="294"/>
      <c r="D53" s="317" t="s">
        <v>219</v>
      </c>
      <c r="E53" s="317"/>
      <c r="F53" s="296">
        <v>298808</v>
      </c>
      <c r="G53" s="296">
        <v>339398</v>
      </c>
      <c r="H53" s="297">
        <v>366099</v>
      </c>
      <c r="I53" s="298"/>
      <c r="J53" s="296"/>
      <c r="K53" s="296"/>
      <c r="L53" s="296"/>
      <c r="M53" s="296"/>
      <c r="N53" s="296"/>
      <c r="O53" s="296"/>
      <c r="P53" s="296"/>
      <c r="Q53" s="296"/>
      <c r="R53" s="447"/>
    </row>
    <row r="54" spans="1:19" s="319" customFormat="1" ht="18" customHeight="1" x14ac:dyDescent="0.3">
      <c r="A54" s="279">
        <v>45</v>
      </c>
      <c r="B54" s="312"/>
      <c r="C54" s="294"/>
      <c r="D54" s="313" t="s">
        <v>118</v>
      </c>
      <c r="E54" s="313"/>
      <c r="F54" s="314"/>
      <c r="G54" s="314"/>
      <c r="H54" s="315"/>
      <c r="I54" s="316"/>
      <c r="J54" s="314"/>
      <c r="K54" s="314"/>
      <c r="L54" s="314"/>
      <c r="M54" s="314"/>
      <c r="N54" s="314"/>
      <c r="O54" s="314"/>
      <c r="P54" s="314"/>
      <c r="Q54" s="314"/>
      <c r="R54" s="521"/>
    </row>
    <row r="55" spans="1:19" s="320" customFormat="1" ht="18" customHeight="1" x14ac:dyDescent="0.3">
      <c r="A55" s="279">
        <v>46</v>
      </c>
      <c r="B55" s="300"/>
      <c r="C55" s="301"/>
      <c r="D55" s="302"/>
      <c r="E55" s="371" t="s">
        <v>245</v>
      </c>
      <c r="F55" s="304"/>
      <c r="G55" s="304"/>
      <c r="H55" s="305"/>
      <c r="I55" s="242">
        <f t="shared" ref="I55:I61" si="7">SUM(J55:Q55)</f>
        <v>386867</v>
      </c>
      <c r="J55" s="304">
        <v>12623</v>
      </c>
      <c r="K55" s="304"/>
      <c r="L55" s="304"/>
      <c r="M55" s="304"/>
      <c r="N55" s="304"/>
      <c r="O55" s="304"/>
      <c r="P55" s="304">
        <v>14762</v>
      </c>
      <c r="Q55" s="304">
        <v>359482</v>
      </c>
      <c r="R55" s="520">
        <v>273644</v>
      </c>
    </row>
    <row r="56" spans="1:19" s="320" customFormat="1" ht="18" customHeight="1" x14ac:dyDescent="0.3">
      <c r="A56" s="279">
        <v>47</v>
      </c>
      <c r="B56" s="300"/>
      <c r="C56" s="301"/>
      <c r="D56" s="879"/>
      <c r="E56" s="377" t="s">
        <v>810</v>
      </c>
      <c r="F56" s="880"/>
      <c r="G56" s="880"/>
      <c r="H56" s="881"/>
      <c r="I56" s="914">
        <f t="shared" si="7"/>
        <v>408581</v>
      </c>
      <c r="J56" s="915">
        <v>12623</v>
      </c>
      <c r="K56" s="915"/>
      <c r="L56" s="915"/>
      <c r="M56" s="915"/>
      <c r="N56" s="915"/>
      <c r="O56" s="915"/>
      <c r="P56" s="915">
        <v>24804</v>
      </c>
      <c r="Q56" s="915">
        <v>371154</v>
      </c>
      <c r="R56" s="1464">
        <v>273644</v>
      </c>
    </row>
    <row r="57" spans="1:19" s="320" customFormat="1" ht="18" customHeight="1" x14ac:dyDescent="0.3">
      <c r="A57" s="279">
        <v>48</v>
      </c>
      <c r="B57" s="300"/>
      <c r="C57" s="301"/>
      <c r="D57" s="879"/>
      <c r="E57" s="910" t="s">
        <v>890</v>
      </c>
      <c r="F57" s="880"/>
      <c r="G57" s="880"/>
      <c r="H57" s="881"/>
      <c r="I57" s="913">
        <f t="shared" si="7"/>
        <v>1458</v>
      </c>
      <c r="J57" s="880"/>
      <c r="K57" s="880"/>
      <c r="L57" s="880"/>
      <c r="M57" s="880"/>
      <c r="N57" s="880"/>
      <c r="O57" s="880"/>
      <c r="P57" s="1314"/>
      <c r="Q57" s="913">
        <v>1458</v>
      </c>
      <c r="R57" s="519">
        <f>1368+90</f>
        <v>1458</v>
      </c>
    </row>
    <row r="58" spans="1:19" s="320" customFormat="1" ht="18" customHeight="1" x14ac:dyDescent="0.3">
      <c r="A58" s="279">
        <v>49</v>
      </c>
      <c r="B58" s="300"/>
      <c r="C58" s="878"/>
      <c r="D58" s="301"/>
      <c r="E58" s="910" t="s">
        <v>892</v>
      </c>
      <c r="F58" s="880"/>
      <c r="G58" s="880"/>
      <c r="H58" s="881"/>
      <c r="I58" s="913">
        <f t="shared" si="7"/>
        <v>0</v>
      </c>
      <c r="J58" s="880"/>
      <c r="K58" s="880"/>
      <c r="L58" s="880"/>
      <c r="M58" s="880"/>
      <c r="N58" s="880"/>
      <c r="O58" s="880"/>
      <c r="P58" s="1314"/>
      <c r="Q58" s="1358"/>
      <c r="R58" s="519">
        <v>1459</v>
      </c>
    </row>
    <row r="59" spans="1:19" s="320" customFormat="1" ht="18" customHeight="1" x14ac:dyDescent="0.3">
      <c r="A59" s="279">
        <v>50</v>
      </c>
      <c r="B59" s="300"/>
      <c r="C59" s="878"/>
      <c r="D59" s="301"/>
      <c r="E59" s="910" t="s">
        <v>908</v>
      </c>
      <c r="F59" s="880"/>
      <c r="G59" s="880"/>
      <c r="H59" s="881"/>
      <c r="I59" s="913">
        <f t="shared" si="7"/>
        <v>797</v>
      </c>
      <c r="J59" s="880"/>
      <c r="K59" s="880"/>
      <c r="L59" s="880"/>
      <c r="M59" s="880"/>
      <c r="N59" s="880"/>
      <c r="O59" s="880"/>
      <c r="P59" s="1314"/>
      <c r="Q59" s="1358">
        <v>797</v>
      </c>
      <c r="R59" s="882"/>
    </row>
    <row r="60" spans="1:19" s="320" customFormat="1" ht="18" customHeight="1" x14ac:dyDescent="0.3">
      <c r="A60" s="279">
        <v>51</v>
      </c>
      <c r="B60" s="300"/>
      <c r="C60" s="878"/>
      <c r="D60" s="898"/>
      <c r="E60" s="910" t="s">
        <v>979</v>
      </c>
      <c r="F60" s="880"/>
      <c r="G60" s="880"/>
      <c r="H60" s="881"/>
      <c r="I60" s="913">
        <f t="shared" si="7"/>
        <v>737</v>
      </c>
      <c r="J60" s="880"/>
      <c r="K60" s="880"/>
      <c r="L60" s="880"/>
      <c r="M60" s="880"/>
      <c r="N60" s="880"/>
      <c r="O60" s="880"/>
      <c r="P60" s="1314"/>
      <c r="Q60" s="1358">
        <v>737</v>
      </c>
      <c r="R60" s="882"/>
    </row>
    <row r="61" spans="1:19" s="320" customFormat="1" ht="18" customHeight="1" thickBot="1" x14ac:dyDescent="0.35">
      <c r="A61" s="279">
        <v>52</v>
      </c>
      <c r="B61" s="300"/>
      <c r="C61" s="878"/>
      <c r="D61" s="887"/>
      <c r="E61" s="377" t="s">
        <v>858</v>
      </c>
      <c r="F61" s="880"/>
      <c r="G61" s="880"/>
      <c r="H61" s="881"/>
      <c r="I61" s="914">
        <f t="shared" si="7"/>
        <v>411573</v>
      </c>
      <c r="J61" s="915">
        <f>SUM(J56:J60)</f>
        <v>12623</v>
      </c>
      <c r="K61" s="915"/>
      <c r="L61" s="915"/>
      <c r="M61" s="915"/>
      <c r="N61" s="915"/>
      <c r="O61" s="915"/>
      <c r="P61" s="915">
        <f>SUM(P56:P60)</f>
        <v>24804</v>
      </c>
      <c r="Q61" s="915">
        <f t="shared" ref="Q61:R61" si="8">SUM(Q56:Q60)</f>
        <v>374146</v>
      </c>
      <c r="R61" s="1389">
        <f t="shared" si="8"/>
        <v>276561</v>
      </c>
    </row>
    <row r="62" spans="1:19" s="283" customFormat="1" ht="22.5" customHeight="1" thickTop="1" thickBot="1" x14ac:dyDescent="0.35">
      <c r="A62" s="279">
        <v>53</v>
      </c>
      <c r="B62" s="312"/>
      <c r="C62" s="1844" t="s">
        <v>311</v>
      </c>
      <c r="D62" s="1845"/>
      <c r="E62" s="1846"/>
      <c r="F62" s="1354">
        <f>SUM(F10:F55)</f>
        <v>2669723</v>
      </c>
      <c r="G62" s="1354">
        <f>SUM(G10:G55)</f>
        <v>3061705</v>
      </c>
      <c r="H62" s="1355">
        <f>SUM(H10:H55)</f>
        <v>3275837</v>
      </c>
      <c r="I62" s="1356"/>
      <c r="J62" s="1354"/>
      <c r="K62" s="1354"/>
      <c r="L62" s="1354"/>
      <c r="M62" s="1354"/>
      <c r="N62" s="1354"/>
      <c r="O62" s="1354"/>
      <c r="P62" s="1354"/>
      <c r="Q62" s="1354"/>
      <c r="R62" s="1357"/>
    </row>
    <row r="63" spans="1:19" s="307" customFormat="1" ht="18" customHeight="1" thickTop="1" x14ac:dyDescent="0.3">
      <c r="A63" s="279">
        <v>54</v>
      </c>
      <c r="B63" s="324"/>
      <c r="C63" s="906"/>
      <c r="D63" s="907"/>
      <c r="E63" s="1359" t="s">
        <v>245</v>
      </c>
      <c r="F63" s="908"/>
      <c r="G63" s="908"/>
      <c r="H63" s="909"/>
      <c r="I63" s="1465">
        <f t="shared" ref="I63:R63" si="9">SUM(I12,I21,I28,I38,I46,I55,)</f>
        <v>3430041</v>
      </c>
      <c r="J63" s="1466">
        <f t="shared" si="9"/>
        <v>93122</v>
      </c>
      <c r="K63" s="1466">
        <f t="shared" si="9"/>
        <v>0</v>
      </c>
      <c r="L63" s="1466">
        <f t="shared" si="9"/>
        <v>0</v>
      </c>
      <c r="M63" s="1466">
        <f t="shared" si="9"/>
        <v>0</v>
      </c>
      <c r="N63" s="1466">
        <f t="shared" si="9"/>
        <v>0</v>
      </c>
      <c r="O63" s="1466">
        <f t="shared" si="9"/>
        <v>0</v>
      </c>
      <c r="P63" s="1466">
        <f t="shared" si="9"/>
        <v>125025</v>
      </c>
      <c r="Q63" s="1466">
        <f t="shared" si="9"/>
        <v>3211894</v>
      </c>
      <c r="R63" s="1467">
        <f t="shared" si="9"/>
        <v>2547941</v>
      </c>
      <c r="S63" s="306"/>
    </row>
    <row r="64" spans="1:19" s="307" customFormat="1" ht="18" customHeight="1" x14ac:dyDescent="0.3">
      <c r="A64" s="279">
        <v>55</v>
      </c>
      <c r="B64" s="883"/>
      <c r="C64" s="898"/>
      <c r="D64" s="879"/>
      <c r="E64" s="377" t="s">
        <v>810</v>
      </c>
      <c r="F64" s="880"/>
      <c r="G64" s="880"/>
      <c r="H64" s="881"/>
      <c r="I64" s="368">
        <f t="shared" ref="I64:R64" si="10">SUM(I13,I22,I29,I39,I47,I56,)</f>
        <v>3582144</v>
      </c>
      <c r="J64" s="443">
        <f t="shared" si="10"/>
        <v>93122</v>
      </c>
      <c r="K64" s="443">
        <f t="shared" si="10"/>
        <v>0</v>
      </c>
      <c r="L64" s="443">
        <f t="shared" si="10"/>
        <v>0</v>
      </c>
      <c r="M64" s="443">
        <f t="shared" si="10"/>
        <v>0</v>
      </c>
      <c r="N64" s="443">
        <f t="shared" si="10"/>
        <v>0</v>
      </c>
      <c r="O64" s="443">
        <f t="shared" si="10"/>
        <v>0</v>
      </c>
      <c r="P64" s="443">
        <f t="shared" si="10"/>
        <v>222995</v>
      </c>
      <c r="Q64" s="443">
        <f t="shared" si="10"/>
        <v>3266027</v>
      </c>
      <c r="R64" s="921">
        <f t="shared" si="10"/>
        <v>2547941</v>
      </c>
      <c r="S64" s="306"/>
    </row>
    <row r="65" spans="1:19" s="307" customFormat="1" ht="18" customHeight="1" x14ac:dyDescent="0.3">
      <c r="A65" s="279">
        <v>56</v>
      </c>
      <c r="B65" s="883"/>
      <c r="C65" s="898"/>
      <c r="D65" s="879"/>
      <c r="E65" s="912" t="s">
        <v>652</v>
      </c>
      <c r="F65" s="880"/>
      <c r="G65" s="880"/>
      <c r="H65" s="881"/>
      <c r="I65" s="1358">
        <f>SUM(J65:Q65)</f>
        <v>30861</v>
      </c>
      <c r="J65" s="1314">
        <f>J57+J48+J40+J30+J23+J14+J51+J59+J60+J58+J50+J49+J42+J41+J34+J33+J32+J31+J24+J17+J16+J15</f>
        <v>0</v>
      </c>
      <c r="K65" s="1314">
        <f t="shared" ref="K65:R65" si="11">K57+K48+K40+K30+K23+K14+K51+K59+K60+K58+K50+K49+K42+K41+K34+K33+K32+K31+K24+K17+K16+K15</f>
        <v>0</v>
      </c>
      <c r="L65" s="1314">
        <f t="shared" si="11"/>
        <v>0</v>
      </c>
      <c r="M65" s="1314">
        <f t="shared" si="11"/>
        <v>0</v>
      </c>
      <c r="N65" s="1314">
        <f t="shared" si="11"/>
        <v>0</v>
      </c>
      <c r="O65" s="1314">
        <f t="shared" si="11"/>
        <v>0</v>
      </c>
      <c r="P65" s="1314">
        <f t="shared" si="11"/>
        <v>0</v>
      </c>
      <c r="Q65" s="1314">
        <f t="shared" si="11"/>
        <v>30861</v>
      </c>
      <c r="R65" s="519">
        <f t="shared" si="11"/>
        <v>23290</v>
      </c>
      <c r="S65" s="306"/>
    </row>
    <row r="66" spans="1:19" s="307" customFormat="1" ht="18" customHeight="1" thickBot="1" x14ac:dyDescent="0.35">
      <c r="A66" s="279">
        <v>57</v>
      </c>
      <c r="B66" s="883"/>
      <c r="C66" s="887"/>
      <c r="D66" s="888"/>
      <c r="E66" s="911" t="s">
        <v>858</v>
      </c>
      <c r="F66" s="327"/>
      <c r="G66" s="327"/>
      <c r="H66" s="328"/>
      <c r="I66" s="917">
        <f>SUM(J66:Q66)</f>
        <v>3613005</v>
      </c>
      <c r="J66" s="916">
        <f>SUM(J64:J65)</f>
        <v>93122</v>
      </c>
      <c r="K66" s="916">
        <f t="shared" ref="K66:R66" si="12">SUM(K64:K65)</f>
        <v>0</v>
      </c>
      <c r="L66" s="916">
        <f t="shared" si="12"/>
        <v>0</v>
      </c>
      <c r="M66" s="916">
        <f t="shared" si="12"/>
        <v>0</v>
      </c>
      <c r="N66" s="916">
        <f t="shared" si="12"/>
        <v>0</v>
      </c>
      <c r="O66" s="916">
        <f t="shared" si="12"/>
        <v>0</v>
      </c>
      <c r="P66" s="916">
        <f t="shared" si="12"/>
        <v>222995</v>
      </c>
      <c r="Q66" s="916">
        <f t="shared" si="12"/>
        <v>3296888</v>
      </c>
      <c r="R66" s="922">
        <f t="shared" si="12"/>
        <v>2571231</v>
      </c>
      <c r="S66" s="306"/>
    </row>
    <row r="67" spans="1:19" s="87" customFormat="1" ht="30" customHeight="1" thickTop="1" x14ac:dyDescent="0.3">
      <c r="A67" s="279">
        <v>58</v>
      </c>
      <c r="B67" s="329">
        <v>7</v>
      </c>
      <c r="C67" s="287"/>
      <c r="D67" s="1866" t="s">
        <v>253</v>
      </c>
      <c r="E67" s="1867"/>
      <c r="F67" s="290">
        <v>1838188</v>
      </c>
      <c r="G67" s="290">
        <v>1825483</v>
      </c>
      <c r="H67" s="291">
        <v>2059425</v>
      </c>
      <c r="I67" s="292"/>
      <c r="J67" s="290"/>
      <c r="K67" s="290"/>
      <c r="L67" s="290"/>
      <c r="M67" s="290"/>
      <c r="N67" s="290"/>
      <c r="O67" s="290"/>
      <c r="P67" s="290"/>
      <c r="Q67" s="290"/>
      <c r="R67" s="519"/>
    </row>
    <row r="68" spans="1:19" s="306" customFormat="1" ht="18" customHeight="1" x14ac:dyDescent="0.3">
      <c r="A68" s="279">
        <v>59</v>
      </c>
      <c r="B68" s="300"/>
      <c r="C68" s="301"/>
      <c r="D68" s="301"/>
      <c r="E68" s="303" t="s">
        <v>245</v>
      </c>
      <c r="F68" s="304"/>
      <c r="G68" s="304"/>
      <c r="H68" s="305"/>
      <c r="I68" s="242">
        <f>SUM(J68:Q68)</f>
        <v>1983101</v>
      </c>
      <c r="J68" s="304">
        <v>16809</v>
      </c>
      <c r="K68" s="304">
        <v>1945</v>
      </c>
      <c r="L68" s="304"/>
      <c r="M68" s="304"/>
      <c r="N68" s="304"/>
      <c r="O68" s="304"/>
      <c r="P68" s="304">
        <v>55944</v>
      </c>
      <c r="Q68" s="304">
        <v>1908403</v>
      </c>
      <c r="R68" s="520">
        <v>1382662</v>
      </c>
    </row>
    <row r="69" spans="1:19" s="306" customFormat="1" ht="18" customHeight="1" x14ac:dyDescent="0.3">
      <c r="A69" s="279">
        <v>60</v>
      </c>
      <c r="B69" s="300"/>
      <c r="C69" s="301"/>
      <c r="D69" s="301"/>
      <c r="E69" s="377" t="s">
        <v>810</v>
      </c>
      <c r="F69" s="304"/>
      <c r="G69" s="304"/>
      <c r="H69" s="305"/>
      <c r="I69" s="914">
        <f>SUM(J69:Q69)</f>
        <v>2067287</v>
      </c>
      <c r="J69" s="443">
        <v>25239</v>
      </c>
      <c r="K69" s="443">
        <v>18536</v>
      </c>
      <c r="L69" s="443"/>
      <c r="M69" s="443"/>
      <c r="N69" s="443"/>
      <c r="O69" s="443"/>
      <c r="P69" s="443">
        <v>94078</v>
      </c>
      <c r="Q69" s="443">
        <v>1929434</v>
      </c>
      <c r="R69" s="1463">
        <v>1398309</v>
      </c>
    </row>
    <row r="70" spans="1:19" s="306" customFormat="1" ht="18" customHeight="1" x14ac:dyDescent="0.3">
      <c r="A70" s="279">
        <v>61</v>
      </c>
      <c r="B70" s="300"/>
      <c r="C70" s="301"/>
      <c r="D70" s="301"/>
      <c r="E70" s="910" t="s">
        <v>887</v>
      </c>
      <c r="F70" s="304"/>
      <c r="G70" s="304"/>
      <c r="H70" s="305"/>
      <c r="I70" s="913">
        <f>SUM(J70:Q70)</f>
        <v>2913</v>
      </c>
      <c r="J70" s="304"/>
      <c r="K70" s="304"/>
      <c r="L70" s="304"/>
      <c r="M70" s="304"/>
      <c r="N70" s="304"/>
      <c r="O70" s="304"/>
      <c r="P70" s="299"/>
      <c r="Q70" s="299">
        <v>2913</v>
      </c>
      <c r="R70" s="447">
        <v>2913</v>
      </c>
    </row>
    <row r="71" spans="1:19" s="306" customFormat="1" ht="18" customHeight="1" x14ac:dyDescent="0.3">
      <c r="A71" s="279">
        <v>62</v>
      </c>
      <c r="B71" s="300"/>
      <c r="C71" s="301"/>
      <c r="D71" s="301"/>
      <c r="E71" s="910" t="s">
        <v>892</v>
      </c>
      <c r="F71" s="304"/>
      <c r="G71" s="304"/>
      <c r="H71" s="305"/>
      <c r="I71" s="913">
        <f t="shared" ref="I71:I75" si="13">SUM(J71:Q71)</f>
        <v>0</v>
      </c>
      <c r="J71" s="913"/>
      <c r="K71" s="913"/>
      <c r="L71" s="242"/>
      <c r="M71" s="242"/>
      <c r="N71" s="242"/>
      <c r="O71" s="242"/>
      <c r="P71" s="913"/>
      <c r="Q71" s="913"/>
      <c r="R71" s="925">
        <v>4733</v>
      </c>
    </row>
    <row r="72" spans="1:19" s="306" customFormat="1" ht="18" customHeight="1" x14ac:dyDescent="0.3">
      <c r="A72" s="279">
        <v>63</v>
      </c>
      <c r="B72" s="300"/>
      <c r="C72" s="301"/>
      <c r="D72" s="301"/>
      <c r="E72" s="910" t="s">
        <v>967</v>
      </c>
      <c r="F72" s="304"/>
      <c r="G72" s="304"/>
      <c r="H72" s="305"/>
      <c r="I72" s="913">
        <f t="shared" si="13"/>
        <v>0</v>
      </c>
      <c r="J72" s="913">
        <v>3035</v>
      </c>
      <c r="K72" s="913"/>
      <c r="L72" s="242"/>
      <c r="M72" s="242"/>
      <c r="N72" s="242"/>
      <c r="O72" s="242"/>
      <c r="P72" s="913"/>
      <c r="Q72" s="913">
        <v>-3035</v>
      </c>
      <c r="R72" s="925"/>
    </row>
    <row r="73" spans="1:19" s="306" customFormat="1" ht="18" customHeight="1" x14ac:dyDescent="0.3">
      <c r="A73" s="279">
        <v>64</v>
      </c>
      <c r="B73" s="300"/>
      <c r="C73" s="301"/>
      <c r="D73" s="301"/>
      <c r="E73" s="910" t="s">
        <v>968</v>
      </c>
      <c r="F73" s="304"/>
      <c r="G73" s="304"/>
      <c r="H73" s="305"/>
      <c r="I73" s="913">
        <f t="shared" si="13"/>
        <v>13797</v>
      </c>
      <c r="J73" s="913"/>
      <c r="K73" s="913">
        <v>13797</v>
      </c>
      <c r="L73" s="242"/>
      <c r="M73" s="242"/>
      <c r="N73" s="242"/>
      <c r="O73" s="242"/>
      <c r="P73" s="913"/>
      <c r="Q73" s="913"/>
      <c r="R73" s="925"/>
    </row>
    <row r="74" spans="1:19" s="306" customFormat="1" ht="18" customHeight="1" x14ac:dyDescent="0.3">
      <c r="A74" s="279">
        <v>65</v>
      </c>
      <c r="B74" s="300"/>
      <c r="C74" s="301"/>
      <c r="D74" s="301"/>
      <c r="E74" s="910" t="s">
        <v>969</v>
      </c>
      <c r="F74" s="304"/>
      <c r="G74" s="304"/>
      <c r="H74" s="305"/>
      <c r="I74" s="913">
        <f t="shared" si="13"/>
        <v>21313</v>
      </c>
      <c r="J74" s="913"/>
      <c r="K74" s="913"/>
      <c r="L74" s="242"/>
      <c r="M74" s="242"/>
      <c r="N74" s="242"/>
      <c r="O74" s="242"/>
      <c r="P74" s="913"/>
      <c r="Q74" s="913">
        <v>21313</v>
      </c>
      <c r="R74" s="925">
        <v>21313</v>
      </c>
    </row>
    <row r="75" spans="1:19" s="306" customFormat="1" ht="18" customHeight="1" x14ac:dyDescent="0.3">
      <c r="A75" s="279">
        <v>66</v>
      </c>
      <c r="B75" s="300"/>
      <c r="C75" s="301"/>
      <c r="D75" s="301"/>
      <c r="E75" s="910" t="s">
        <v>966</v>
      </c>
      <c r="F75" s="304"/>
      <c r="G75" s="304"/>
      <c r="H75" s="305"/>
      <c r="I75" s="913">
        <f t="shared" si="13"/>
        <v>192</v>
      </c>
      <c r="J75" s="913"/>
      <c r="K75" s="242"/>
      <c r="L75" s="242"/>
      <c r="M75" s="242"/>
      <c r="N75" s="242"/>
      <c r="O75" s="242"/>
      <c r="P75" s="913"/>
      <c r="Q75" s="913">
        <v>192</v>
      </c>
      <c r="R75" s="925"/>
    </row>
    <row r="76" spans="1:19" s="306" customFormat="1" ht="18" customHeight="1" x14ac:dyDescent="0.3">
      <c r="A76" s="279">
        <v>67</v>
      </c>
      <c r="B76" s="300"/>
      <c r="C76" s="301"/>
      <c r="D76" s="301"/>
      <c r="E76" s="377" t="s">
        <v>858</v>
      </c>
      <c r="F76" s="304"/>
      <c r="G76" s="304"/>
      <c r="H76" s="305"/>
      <c r="I76" s="914">
        <f>SUM(J76:Q76)</f>
        <v>2105502</v>
      </c>
      <c r="J76" s="914">
        <f>SUM(J69:J75)</f>
        <v>28274</v>
      </c>
      <c r="K76" s="914">
        <f>SUM(K69:K75)</f>
        <v>32333</v>
      </c>
      <c r="L76" s="914"/>
      <c r="M76" s="914"/>
      <c r="N76" s="914"/>
      <c r="O76" s="914"/>
      <c r="P76" s="914">
        <f>SUM(P69:P75)</f>
        <v>94078</v>
      </c>
      <c r="Q76" s="914">
        <f>SUM(Q69:Q75)</f>
        <v>1950817</v>
      </c>
      <c r="R76" s="1388">
        <f>SUM(R69:R75)</f>
        <v>1427268</v>
      </c>
    </row>
    <row r="77" spans="1:19" ht="22.5" customHeight="1" x14ac:dyDescent="0.3">
      <c r="A77" s="279">
        <v>68</v>
      </c>
      <c r="B77" s="293">
        <v>8</v>
      </c>
      <c r="C77" s="294"/>
      <c r="D77" s="317" t="s">
        <v>97</v>
      </c>
      <c r="E77" s="317"/>
      <c r="F77" s="296">
        <v>146343</v>
      </c>
      <c r="G77" s="296">
        <v>123176</v>
      </c>
      <c r="H77" s="297">
        <v>175961</v>
      </c>
      <c r="I77" s="298"/>
      <c r="J77" s="296"/>
      <c r="K77" s="296"/>
      <c r="L77" s="296"/>
      <c r="M77" s="296"/>
      <c r="N77" s="296"/>
      <c r="O77" s="296"/>
      <c r="P77" s="296"/>
      <c r="Q77" s="296"/>
      <c r="R77" s="447"/>
      <c r="S77" s="87"/>
    </row>
    <row r="78" spans="1:19" s="310" customFormat="1" ht="18" customHeight="1" x14ac:dyDescent="0.3">
      <c r="A78" s="279">
        <v>69</v>
      </c>
      <c r="B78" s="300"/>
      <c r="C78" s="301"/>
      <c r="D78" s="301"/>
      <c r="E78" s="303" t="s">
        <v>245</v>
      </c>
      <c r="F78" s="304"/>
      <c r="G78" s="304"/>
      <c r="H78" s="305"/>
      <c r="I78" s="242">
        <f>SUM(J78:Q78)</f>
        <v>130030</v>
      </c>
      <c r="J78" s="304">
        <v>16200</v>
      </c>
      <c r="K78" s="304"/>
      <c r="L78" s="304"/>
      <c r="M78" s="304"/>
      <c r="N78" s="304"/>
      <c r="O78" s="304"/>
      <c r="P78" s="304">
        <v>15884</v>
      </c>
      <c r="Q78" s="304">
        <v>97946</v>
      </c>
      <c r="R78" s="520">
        <v>40115</v>
      </c>
    </row>
    <row r="79" spans="1:19" s="310" customFormat="1" ht="18" customHeight="1" x14ac:dyDescent="0.3">
      <c r="A79" s="279">
        <v>70</v>
      </c>
      <c r="B79" s="300"/>
      <c r="C79" s="301"/>
      <c r="D79" s="301"/>
      <c r="E79" s="377" t="s">
        <v>810</v>
      </c>
      <c r="F79" s="304"/>
      <c r="G79" s="304"/>
      <c r="H79" s="305"/>
      <c r="I79" s="914">
        <f>SUM(J79:Q79)</f>
        <v>168029</v>
      </c>
      <c r="J79" s="443">
        <v>16200</v>
      </c>
      <c r="K79" s="443"/>
      <c r="L79" s="443"/>
      <c r="M79" s="443"/>
      <c r="N79" s="443"/>
      <c r="O79" s="443"/>
      <c r="P79" s="443">
        <v>31564</v>
      </c>
      <c r="Q79" s="443">
        <v>120265</v>
      </c>
      <c r="R79" s="1463">
        <v>58597</v>
      </c>
    </row>
    <row r="80" spans="1:19" s="310" customFormat="1" ht="18" customHeight="1" x14ac:dyDescent="0.3">
      <c r="A80" s="279">
        <v>71</v>
      </c>
      <c r="B80" s="300"/>
      <c r="C80" s="301"/>
      <c r="D80" s="301"/>
      <c r="E80" s="910" t="s">
        <v>887</v>
      </c>
      <c r="F80" s="304"/>
      <c r="G80" s="304"/>
      <c r="H80" s="305"/>
      <c r="I80" s="913">
        <f>SUM(J80:Q80)</f>
        <v>2423</v>
      </c>
      <c r="J80" s="304"/>
      <c r="K80" s="304"/>
      <c r="L80" s="304"/>
      <c r="M80" s="304"/>
      <c r="N80" s="304"/>
      <c r="O80" s="304"/>
      <c r="P80" s="299"/>
      <c r="Q80" s="299">
        <v>2423</v>
      </c>
      <c r="R80" s="447">
        <v>2423</v>
      </c>
    </row>
    <row r="81" spans="1:19" s="310" customFormat="1" ht="18" customHeight="1" x14ac:dyDescent="0.3">
      <c r="A81" s="279">
        <v>72</v>
      </c>
      <c r="B81" s="300"/>
      <c r="C81" s="301"/>
      <c r="D81" s="301"/>
      <c r="E81" s="910" t="s">
        <v>888</v>
      </c>
      <c r="F81" s="304"/>
      <c r="G81" s="304"/>
      <c r="H81" s="305"/>
      <c r="I81" s="913">
        <f t="shared" ref="I81:I82" si="14">SUM(J81:Q81)</f>
        <v>-3011</v>
      </c>
      <c r="J81" s="304"/>
      <c r="K81" s="304"/>
      <c r="L81" s="304"/>
      <c r="M81" s="304"/>
      <c r="N81" s="304"/>
      <c r="O81" s="304"/>
      <c r="P81" s="299"/>
      <c r="Q81" s="299">
        <v>-3011</v>
      </c>
      <c r="R81" s="447"/>
    </row>
    <row r="82" spans="1:19" s="310" customFormat="1" ht="18" customHeight="1" x14ac:dyDescent="0.3">
      <c r="A82" s="279">
        <v>73</v>
      </c>
      <c r="B82" s="300"/>
      <c r="C82" s="301"/>
      <c r="D82" s="301"/>
      <c r="E82" s="910" t="s">
        <v>1000</v>
      </c>
      <c r="F82" s="304"/>
      <c r="G82" s="304"/>
      <c r="H82" s="305"/>
      <c r="I82" s="913">
        <f t="shared" si="14"/>
        <v>789</v>
      </c>
      <c r="J82" s="304"/>
      <c r="K82" s="304"/>
      <c r="L82" s="304"/>
      <c r="M82" s="304"/>
      <c r="N82" s="304"/>
      <c r="O82" s="304"/>
      <c r="P82" s="299"/>
      <c r="Q82" s="299">
        <v>789</v>
      </c>
      <c r="R82" s="447"/>
    </row>
    <row r="83" spans="1:19" s="310" customFormat="1" ht="18" customHeight="1" x14ac:dyDescent="0.3">
      <c r="A83" s="279">
        <v>74</v>
      </c>
      <c r="B83" s="300"/>
      <c r="C83" s="301"/>
      <c r="D83" s="301"/>
      <c r="E83" s="377" t="s">
        <v>858</v>
      </c>
      <c r="F83" s="304"/>
      <c r="G83" s="304"/>
      <c r="H83" s="305"/>
      <c r="I83" s="914">
        <f>SUM(J83:Q83)</f>
        <v>168230</v>
      </c>
      <c r="J83" s="443">
        <f>SUM(J79:J82)</f>
        <v>16200</v>
      </c>
      <c r="K83" s="443"/>
      <c r="L83" s="443"/>
      <c r="M83" s="443"/>
      <c r="N83" s="443"/>
      <c r="O83" s="443"/>
      <c r="P83" s="443">
        <f>SUM(P79:P82)</f>
        <v>31564</v>
      </c>
      <c r="Q83" s="443">
        <f>SUM(Q79:Q82)</f>
        <v>120466</v>
      </c>
      <c r="R83" s="921">
        <f>SUM(R79:R82)</f>
        <v>61020</v>
      </c>
    </row>
    <row r="84" spans="1:19" ht="22.5" customHeight="1" x14ac:dyDescent="0.3">
      <c r="A84" s="279">
        <v>75</v>
      </c>
      <c r="B84" s="293">
        <v>9</v>
      </c>
      <c r="C84" s="294"/>
      <c r="D84" s="317" t="s">
        <v>292</v>
      </c>
      <c r="E84" s="317"/>
      <c r="F84" s="296">
        <v>483799</v>
      </c>
      <c r="G84" s="296">
        <v>417595</v>
      </c>
      <c r="H84" s="297">
        <v>564815</v>
      </c>
      <c r="I84" s="298"/>
      <c r="J84" s="296"/>
      <c r="K84" s="296"/>
      <c r="L84" s="296"/>
      <c r="M84" s="296"/>
      <c r="N84" s="296"/>
      <c r="O84" s="296"/>
      <c r="P84" s="296"/>
      <c r="Q84" s="296"/>
      <c r="R84" s="447"/>
      <c r="S84" s="87"/>
    </row>
    <row r="85" spans="1:19" s="310" customFormat="1" ht="18" customHeight="1" x14ac:dyDescent="0.3">
      <c r="A85" s="279">
        <v>76</v>
      </c>
      <c r="B85" s="300"/>
      <c r="C85" s="891"/>
      <c r="D85" s="330"/>
      <c r="E85" s="332" t="s">
        <v>245</v>
      </c>
      <c r="F85" s="333"/>
      <c r="G85" s="333"/>
      <c r="H85" s="334"/>
      <c r="I85" s="335">
        <f>SUM(J85:Q85)</f>
        <v>460026</v>
      </c>
      <c r="J85" s="333">
        <v>6600</v>
      </c>
      <c r="K85" s="333"/>
      <c r="L85" s="333"/>
      <c r="M85" s="333"/>
      <c r="N85" s="333"/>
      <c r="O85" s="333"/>
      <c r="P85" s="333">
        <v>9206</v>
      </c>
      <c r="Q85" s="333">
        <v>444220</v>
      </c>
      <c r="R85" s="522">
        <v>250960</v>
      </c>
    </row>
    <row r="86" spans="1:19" s="310" customFormat="1" ht="18" customHeight="1" x14ac:dyDescent="0.3">
      <c r="A86" s="279">
        <v>77</v>
      </c>
      <c r="B86" s="300"/>
      <c r="C86" s="891"/>
      <c r="D86" s="301"/>
      <c r="E86" s="377" t="s">
        <v>810</v>
      </c>
      <c r="F86" s="333"/>
      <c r="G86" s="333"/>
      <c r="H86" s="334"/>
      <c r="I86" s="1468">
        <f>SUM(J86:Q86)</f>
        <v>537438</v>
      </c>
      <c r="J86" s="1175">
        <v>6600</v>
      </c>
      <c r="K86" s="1175"/>
      <c r="L86" s="1175"/>
      <c r="M86" s="1175"/>
      <c r="N86" s="1175"/>
      <c r="O86" s="1175"/>
      <c r="P86" s="1175">
        <v>34311</v>
      </c>
      <c r="Q86" s="1175">
        <v>496527</v>
      </c>
      <c r="R86" s="1469">
        <v>306370</v>
      </c>
    </row>
    <row r="87" spans="1:19" s="310" customFormat="1" ht="18" customHeight="1" x14ac:dyDescent="0.3">
      <c r="A87" s="279">
        <v>78</v>
      </c>
      <c r="B87" s="300"/>
      <c r="C87" s="301"/>
      <c r="D87" s="302"/>
      <c r="E87" s="910" t="s">
        <v>887</v>
      </c>
      <c r="F87" s="304"/>
      <c r="G87" s="304"/>
      <c r="H87" s="305"/>
      <c r="I87" s="913">
        <f>SUM(J87:Q87)</f>
        <v>16373</v>
      </c>
      <c r="J87" s="304"/>
      <c r="K87" s="304"/>
      <c r="L87" s="304"/>
      <c r="M87" s="304"/>
      <c r="N87" s="304"/>
      <c r="O87" s="304"/>
      <c r="P87" s="299"/>
      <c r="Q87" s="299">
        <v>16373</v>
      </c>
      <c r="R87" s="925">
        <v>16373</v>
      </c>
    </row>
    <row r="88" spans="1:19" s="310" customFormat="1" ht="18" customHeight="1" x14ac:dyDescent="0.3">
      <c r="A88" s="279">
        <v>79</v>
      </c>
      <c r="B88" s="300"/>
      <c r="C88" s="330"/>
      <c r="D88" s="331"/>
      <c r="E88" s="910" t="s">
        <v>888</v>
      </c>
      <c r="F88" s="333"/>
      <c r="G88" s="333"/>
      <c r="H88" s="334"/>
      <c r="I88" s="913">
        <f t="shared" ref="I88:I89" si="15">SUM(J88:Q88)</f>
        <v>3011</v>
      </c>
      <c r="J88" s="242"/>
      <c r="K88" s="242"/>
      <c r="L88" s="242"/>
      <c r="M88" s="242"/>
      <c r="N88" s="242"/>
      <c r="O88" s="242"/>
      <c r="P88" s="913"/>
      <c r="Q88" s="913">
        <v>3011</v>
      </c>
      <c r="R88" s="925"/>
    </row>
    <row r="89" spans="1:19" s="310" customFormat="1" ht="18" customHeight="1" x14ac:dyDescent="0.3">
      <c r="A89" s="279">
        <v>80</v>
      </c>
      <c r="B89" s="300"/>
      <c r="C89" s="330"/>
      <c r="D89" s="331"/>
      <c r="E89" s="910" t="s">
        <v>911</v>
      </c>
      <c r="F89" s="333"/>
      <c r="G89" s="333"/>
      <c r="H89" s="334"/>
      <c r="I89" s="913">
        <f t="shared" si="15"/>
        <v>100</v>
      </c>
      <c r="J89" s="242"/>
      <c r="K89" s="913">
        <v>100</v>
      </c>
      <c r="L89" s="242"/>
      <c r="M89" s="242"/>
      <c r="N89" s="242"/>
      <c r="O89" s="242"/>
      <c r="P89" s="913"/>
      <c r="Q89" s="913"/>
      <c r="R89" s="925"/>
    </row>
    <row r="90" spans="1:19" s="310" customFormat="1" ht="18" customHeight="1" thickBot="1" x14ac:dyDescent="0.35">
      <c r="A90" s="279">
        <v>81</v>
      </c>
      <c r="B90" s="300"/>
      <c r="C90" s="325"/>
      <c r="D90" s="326"/>
      <c r="E90" s="377" t="s">
        <v>858</v>
      </c>
      <c r="F90" s="327"/>
      <c r="G90" s="327"/>
      <c r="H90" s="328"/>
      <c r="I90" s="914">
        <f>SUM(J90:Q90)</f>
        <v>556922</v>
      </c>
      <c r="J90" s="914">
        <f>SUM(J86:J89)</f>
        <v>6600</v>
      </c>
      <c r="K90" s="914">
        <f>SUM(K86:K89)</f>
        <v>100</v>
      </c>
      <c r="L90" s="914"/>
      <c r="M90" s="914"/>
      <c r="N90" s="914"/>
      <c r="O90" s="914"/>
      <c r="P90" s="914">
        <f>SUM(P86:P89)</f>
        <v>34311</v>
      </c>
      <c r="Q90" s="914">
        <f>SUM(Q86:Q89)</f>
        <v>515911</v>
      </c>
      <c r="R90" s="1388">
        <f>SUM(R86:R89)</f>
        <v>322743</v>
      </c>
    </row>
    <row r="91" spans="1:19" s="319" customFormat="1" ht="22.5" customHeight="1" thickTop="1" x14ac:dyDescent="0.3">
      <c r="A91" s="279">
        <v>82</v>
      </c>
      <c r="B91" s="312"/>
      <c r="C91" s="1868" t="s">
        <v>312</v>
      </c>
      <c r="D91" s="1869"/>
      <c r="E91" s="1870"/>
      <c r="F91" s="321">
        <f>SUM(F67:F85)</f>
        <v>2468330</v>
      </c>
      <c r="G91" s="321">
        <f>SUM(G67:G85)</f>
        <v>2366254</v>
      </c>
      <c r="H91" s="322">
        <f>SUM(H67:H85)</f>
        <v>2800201</v>
      </c>
      <c r="I91" s="323"/>
      <c r="J91" s="321"/>
      <c r="K91" s="321"/>
      <c r="L91" s="321"/>
      <c r="M91" s="321"/>
      <c r="N91" s="321"/>
      <c r="O91" s="321"/>
      <c r="P91" s="321"/>
      <c r="Q91" s="321"/>
      <c r="R91" s="523"/>
    </row>
    <row r="92" spans="1:19" s="310" customFormat="1" ht="18" customHeight="1" x14ac:dyDescent="0.3">
      <c r="A92" s="279">
        <v>83</v>
      </c>
      <c r="B92" s="300"/>
      <c r="C92" s="301"/>
      <c r="D92" s="302"/>
      <c r="E92" s="303" t="s">
        <v>245</v>
      </c>
      <c r="F92" s="304"/>
      <c r="G92" s="304"/>
      <c r="H92" s="305"/>
      <c r="I92" s="242">
        <f t="shared" ref="I92:R92" si="16">SUM(I68,I78,I85)</f>
        <v>2573157</v>
      </c>
      <c r="J92" s="304">
        <f t="shared" si="16"/>
        <v>39609</v>
      </c>
      <c r="K92" s="304">
        <f t="shared" si="16"/>
        <v>1945</v>
      </c>
      <c r="L92" s="304">
        <f t="shared" si="16"/>
        <v>0</v>
      </c>
      <c r="M92" s="304">
        <f t="shared" si="16"/>
        <v>0</v>
      </c>
      <c r="N92" s="304">
        <f t="shared" si="16"/>
        <v>0</v>
      </c>
      <c r="O92" s="304">
        <f t="shared" si="16"/>
        <v>0</v>
      </c>
      <c r="P92" s="304">
        <f t="shared" si="16"/>
        <v>81034</v>
      </c>
      <c r="Q92" s="304">
        <f t="shared" si="16"/>
        <v>2450569</v>
      </c>
      <c r="R92" s="520">
        <f t="shared" si="16"/>
        <v>1673737</v>
      </c>
    </row>
    <row r="93" spans="1:19" s="310" customFormat="1" ht="18" customHeight="1" x14ac:dyDescent="0.3">
      <c r="A93" s="279">
        <v>84</v>
      </c>
      <c r="B93" s="890"/>
      <c r="C93" s="884"/>
      <c r="D93" s="1818"/>
      <c r="E93" s="1470" t="s">
        <v>810</v>
      </c>
      <c r="F93" s="885"/>
      <c r="G93" s="885"/>
      <c r="H93" s="886"/>
      <c r="I93" s="914">
        <f t="shared" ref="I93:R93" si="17">SUM(I69,I79,I86)</f>
        <v>2772754</v>
      </c>
      <c r="J93" s="443">
        <f t="shared" si="17"/>
        <v>48039</v>
      </c>
      <c r="K93" s="443">
        <f t="shared" si="17"/>
        <v>18536</v>
      </c>
      <c r="L93" s="443">
        <f t="shared" si="17"/>
        <v>0</v>
      </c>
      <c r="M93" s="443">
        <f t="shared" si="17"/>
        <v>0</v>
      </c>
      <c r="N93" s="443">
        <f t="shared" si="17"/>
        <v>0</v>
      </c>
      <c r="O93" s="443">
        <f t="shared" si="17"/>
        <v>0</v>
      </c>
      <c r="P93" s="443">
        <f t="shared" si="17"/>
        <v>159953</v>
      </c>
      <c r="Q93" s="443">
        <f t="shared" si="17"/>
        <v>2546226</v>
      </c>
      <c r="R93" s="921">
        <f t="shared" si="17"/>
        <v>1763276</v>
      </c>
    </row>
    <row r="94" spans="1:19" s="310" customFormat="1" ht="18" customHeight="1" x14ac:dyDescent="0.3">
      <c r="A94" s="279">
        <v>85</v>
      </c>
      <c r="B94" s="890"/>
      <c r="C94" s="301"/>
      <c r="D94" s="302"/>
      <c r="E94" s="910" t="s">
        <v>652</v>
      </c>
      <c r="F94" s="304"/>
      <c r="G94" s="304"/>
      <c r="H94" s="305"/>
      <c r="I94" s="913">
        <f>SUM(J94:Q94)</f>
        <v>57900</v>
      </c>
      <c r="J94" s="299">
        <f>J87+J80+J70+J71+J72+J81+J82+J88+J73+J75+J89+J74</f>
        <v>3035</v>
      </c>
      <c r="K94" s="299">
        <f t="shared" ref="K94:R94" si="18">K87+K80+K70+K71+K72+K81+K82+K88+K73+K75+K89+K74</f>
        <v>13897</v>
      </c>
      <c r="L94" s="299">
        <f t="shared" si="18"/>
        <v>0</v>
      </c>
      <c r="M94" s="299">
        <f t="shared" si="18"/>
        <v>0</v>
      </c>
      <c r="N94" s="299">
        <f t="shared" si="18"/>
        <v>0</v>
      </c>
      <c r="O94" s="299">
        <f t="shared" si="18"/>
        <v>0</v>
      </c>
      <c r="P94" s="299">
        <f t="shared" si="18"/>
        <v>0</v>
      </c>
      <c r="Q94" s="299">
        <f t="shared" si="18"/>
        <v>40968</v>
      </c>
      <c r="R94" s="447">
        <f t="shared" si="18"/>
        <v>47755</v>
      </c>
    </row>
    <row r="95" spans="1:19" s="310" customFormat="1" ht="18" customHeight="1" thickBot="1" x14ac:dyDescent="0.35">
      <c r="A95" s="279">
        <v>86</v>
      </c>
      <c r="B95" s="890"/>
      <c r="C95" s="325"/>
      <c r="D95" s="326"/>
      <c r="E95" s="911" t="s">
        <v>858</v>
      </c>
      <c r="F95" s="327"/>
      <c r="G95" s="327"/>
      <c r="H95" s="328"/>
      <c r="I95" s="919">
        <f>SUM(J95:Q95)</f>
        <v>2830654</v>
      </c>
      <c r="J95" s="918">
        <f>SUM(J93:J94)</f>
        <v>51074</v>
      </c>
      <c r="K95" s="918">
        <f t="shared" ref="K95:R95" si="19">SUM(K93:K94)</f>
        <v>32433</v>
      </c>
      <c r="L95" s="918">
        <f t="shared" si="19"/>
        <v>0</v>
      </c>
      <c r="M95" s="918">
        <f t="shared" si="19"/>
        <v>0</v>
      </c>
      <c r="N95" s="918">
        <f t="shared" si="19"/>
        <v>0</v>
      </c>
      <c r="O95" s="918">
        <f t="shared" si="19"/>
        <v>0</v>
      </c>
      <c r="P95" s="918">
        <f t="shared" si="19"/>
        <v>159953</v>
      </c>
      <c r="Q95" s="918">
        <f t="shared" si="19"/>
        <v>2587194</v>
      </c>
      <c r="R95" s="923">
        <f t="shared" si="19"/>
        <v>1811031</v>
      </c>
    </row>
    <row r="96" spans="1:19" s="284" customFormat="1" ht="22.5" customHeight="1" thickTop="1" x14ac:dyDescent="0.3">
      <c r="A96" s="279">
        <v>87</v>
      </c>
      <c r="B96" s="286">
        <v>10</v>
      </c>
      <c r="C96" s="287"/>
      <c r="D96" s="278" t="s">
        <v>294</v>
      </c>
      <c r="E96" s="338"/>
      <c r="F96" s="290">
        <v>619997</v>
      </c>
      <c r="G96" s="290">
        <v>421845</v>
      </c>
      <c r="H96" s="291">
        <v>569047</v>
      </c>
      <c r="I96" s="292"/>
      <c r="J96" s="290"/>
      <c r="K96" s="290"/>
      <c r="L96" s="290"/>
      <c r="M96" s="290"/>
      <c r="N96" s="290"/>
      <c r="O96" s="290"/>
      <c r="P96" s="290"/>
      <c r="Q96" s="290"/>
      <c r="R96" s="519"/>
      <c r="S96" s="283"/>
    </row>
    <row r="97" spans="1:19" s="306" customFormat="1" ht="18" customHeight="1" x14ac:dyDescent="0.3">
      <c r="A97" s="279">
        <v>88</v>
      </c>
      <c r="B97" s="300"/>
      <c r="C97" s="301"/>
      <c r="D97" s="302"/>
      <c r="E97" s="371" t="s">
        <v>245</v>
      </c>
      <c r="F97" s="304"/>
      <c r="G97" s="304"/>
      <c r="H97" s="305"/>
      <c r="I97" s="242">
        <f>SUM(J97:Q97)</f>
        <v>388211</v>
      </c>
      <c r="J97" s="304">
        <v>62076</v>
      </c>
      <c r="K97" s="304"/>
      <c r="L97" s="304"/>
      <c r="M97" s="304"/>
      <c r="N97" s="304"/>
      <c r="O97" s="304"/>
      <c r="P97" s="304">
        <v>29551</v>
      </c>
      <c r="Q97" s="304">
        <v>296584</v>
      </c>
      <c r="R97" s="520">
        <v>68664</v>
      </c>
    </row>
    <row r="98" spans="1:19" s="306" customFormat="1" ht="18" customHeight="1" x14ac:dyDescent="0.3">
      <c r="A98" s="279">
        <v>89</v>
      </c>
      <c r="B98" s="300"/>
      <c r="C98" s="301"/>
      <c r="D98" s="302"/>
      <c r="E98" s="377" t="s">
        <v>810</v>
      </c>
      <c r="F98" s="304"/>
      <c r="G98" s="304"/>
      <c r="H98" s="305"/>
      <c r="I98" s="914">
        <f>SUM(J98:Q98)</f>
        <v>520251</v>
      </c>
      <c r="J98" s="443">
        <v>62076</v>
      </c>
      <c r="K98" s="443"/>
      <c r="L98" s="443"/>
      <c r="M98" s="443"/>
      <c r="N98" s="443"/>
      <c r="O98" s="443"/>
      <c r="P98" s="443">
        <v>157978</v>
      </c>
      <c r="Q98" s="443">
        <v>300197</v>
      </c>
      <c r="R98" s="1463">
        <v>68664</v>
      </c>
    </row>
    <row r="99" spans="1:19" s="306" customFormat="1" ht="18" customHeight="1" x14ac:dyDescent="0.3">
      <c r="A99" s="279">
        <v>90</v>
      </c>
      <c r="B99" s="300"/>
      <c r="C99" s="301"/>
      <c r="D99" s="302"/>
      <c r="E99" s="910" t="s">
        <v>936</v>
      </c>
      <c r="F99" s="304"/>
      <c r="G99" s="304"/>
      <c r="H99" s="305"/>
      <c r="I99" s="913">
        <f>SUM(J99:Q99)</f>
        <v>5600</v>
      </c>
      <c r="J99" s="299">
        <v>5600</v>
      </c>
      <c r="K99" s="304"/>
      <c r="L99" s="304"/>
      <c r="M99" s="304"/>
      <c r="N99" s="304"/>
      <c r="O99" s="304"/>
      <c r="P99" s="299"/>
      <c r="Q99" s="299"/>
      <c r="R99" s="520"/>
    </row>
    <row r="100" spans="1:19" s="306" customFormat="1" ht="18" customHeight="1" x14ac:dyDescent="0.3">
      <c r="A100" s="279">
        <v>91</v>
      </c>
      <c r="B100" s="300"/>
      <c r="C100" s="301"/>
      <c r="D100" s="302"/>
      <c r="E100" s="910" t="s">
        <v>330</v>
      </c>
      <c r="F100" s="304"/>
      <c r="G100" s="304"/>
      <c r="H100" s="305"/>
      <c r="I100" s="913">
        <f t="shared" ref="I100:I104" si="20">SUM(J100:Q100)</f>
        <v>3000</v>
      </c>
      <c r="J100" s="304"/>
      <c r="K100" s="304"/>
      <c r="L100" s="304"/>
      <c r="M100" s="304"/>
      <c r="N100" s="304"/>
      <c r="O100" s="304"/>
      <c r="P100" s="299"/>
      <c r="Q100" s="299">
        <v>3000</v>
      </c>
      <c r="R100" s="520"/>
    </row>
    <row r="101" spans="1:19" s="306" customFormat="1" ht="18" customHeight="1" x14ac:dyDescent="0.3">
      <c r="A101" s="279">
        <v>92</v>
      </c>
      <c r="B101" s="300"/>
      <c r="C101" s="301"/>
      <c r="D101" s="302"/>
      <c r="E101" s="910" t="s">
        <v>1043</v>
      </c>
      <c r="F101" s="304"/>
      <c r="G101" s="304"/>
      <c r="H101" s="305"/>
      <c r="I101" s="913">
        <f t="shared" si="20"/>
        <v>100</v>
      </c>
      <c r="J101" s="304"/>
      <c r="K101" s="304"/>
      <c r="L101" s="304"/>
      <c r="M101" s="304"/>
      <c r="N101" s="304"/>
      <c r="O101" s="304"/>
      <c r="P101" s="299"/>
      <c r="Q101" s="299">
        <v>100</v>
      </c>
      <c r="R101" s="520"/>
    </row>
    <row r="102" spans="1:19" s="306" customFormat="1" ht="18" customHeight="1" x14ac:dyDescent="0.3">
      <c r="A102" s="279">
        <v>93</v>
      </c>
      <c r="B102" s="300"/>
      <c r="C102" s="301"/>
      <c r="D102" s="302"/>
      <c r="E102" s="910" t="s">
        <v>1064</v>
      </c>
      <c r="F102" s="304"/>
      <c r="G102" s="304"/>
      <c r="H102" s="305"/>
      <c r="I102" s="913">
        <f t="shared" si="20"/>
        <v>100</v>
      </c>
      <c r="J102" s="304"/>
      <c r="K102" s="304"/>
      <c r="L102" s="304"/>
      <c r="M102" s="304"/>
      <c r="N102" s="304"/>
      <c r="O102" s="304"/>
      <c r="P102" s="299"/>
      <c r="Q102" s="299">
        <v>100</v>
      </c>
      <c r="R102" s="520"/>
    </row>
    <row r="103" spans="1:19" s="306" customFormat="1" ht="18" customHeight="1" x14ac:dyDescent="0.3">
      <c r="A103" s="279">
        <v>94</v>
      </c>
      <c r="B103" s="300"/>
      <c r="C103" s="301"/>
      <c r="D103" s="302"/>
      <c r="E103" s="910" t="s">
        <v>1099</v>
      </c>
      <c r="F103" s="304"/>
      <c r="G103" s="304"/>
      <c r="H103" s="305"/>
      <c r="I103" s="913">
        <f t="shared" si="20"/>
        <v>100</v>
      </c>
      <c r="J103" s="304"/>
      <c r="K103" s="304"/>
      <c r="L103" s="304"/>
      <c r="M103" s="304"/>
      <c r="N103" s="304"/>
      <c r="O103" s="304"/>
      <c r="P103" s="299"/>
      <c r="Q103" s="299">
        <v>100</v>
      </c>
      <c r="R103" s="520"/>
    </row>
    <row r="104" spans="1:19" s="306" customFormat="1" ht="18" customHeight="1" x14ac:dyDescent="0.3">
      <c r="A104" s="279">
        <v>95</v>
      </c>
      <c r="B104" s="300"/>
      <c r="C104" s="301"/>
      <c r="D104" s="302"/>
      <c r="E104" s="910" t="s">
        <v>1109</v>
      </c>
      <c r="F104" s="304"/>
      <c r="G104" s="304"/>
      <c r="H104" s="305"/>
      <c r="I104" s="913">
        <f t="shared" si="20"/>
        <v>40000</v>
      </c>
      <c r="J104" s="304"/>
      <c r="K104" s="304"/>
      <c r="L104" s="304"/>
      <c r="M104" s="304"/>
      <c r="N104" s="304"/>
      <c r="O104" s="304"/>
      <c r="P104" s="299"/>
      <c r="Q104" s="299">
        <v>40000</v>
      </c>
      <c r="R104" s="520"/>
    </row>
    <row r="105" spans="1:19" s="306" customFormat="1" ht="18" customHeight="1" x14ac:dyDescent="0.3">
      <c r="A105" s="279">
        <v>96</v>
      </c>
      <c r="B105" s="300"/>
      <c r="C105" s="301"/>
      <c r="D105" s="302"/>
      <c r="E105" s="377" t="s">
        <v>858</v>
      </c>
      <c r="F105" s="304"/>
      <c r="G105" s="304"/>
      <c r="H105" s="305"/>
      <c r="I105" s="914">
        <f>SUM(J105:Q105)</f>
        <v>569151</v>
      </c>
      <c r="J105" s="443">
        <f>SUM(J98:J104)</f>
        <v>67676</v>
      </c>
      <c r="K105" s="443"/>
      <c r="L105" s="443"/>
      <c r="M105" s="443"/>
      <c r="N105" s="443"/>
      <c r="O105" s="443"/>
      <c r="P105" s="443">
        <f>SUM(P98:P104)</f>
        <v>157978</v>
      </c>
      <c r="Q105" s="443">
        <f>SUM(Q98:Q104)</f>
        <v>343497</v>
      </c>
      <c r="R105" s="921">
        <f t="shared" ref="R105" si="21">SUM(R98:R104)</f>
        <v>68664</v>
      </c>
    </row>
    <row r="106" spans="1:19" s="337" customFormat="1" ht="30" customHeight="1" x14ac:dyDescent="0.3">
      <c r="A106" s="279">
        <v>97</v>
      </c>
      <c r="B106" s="293"/>
      <c r="C106" s="336">
        <v>1</v>
      </c>
      <c r="D106" s="1871" t="s">
        <v>309</v>
      </c>
      <c r="E106" s="1872"/>
      <c r="F106" s="296">
        <v>38386</v>
      </c>
      <c r="G106" s="296"/>
      <c r="H106" s="297"/>
      <c r="I106" s="298"/>
      <c r="J106" s="296"/>
      <c r="K106" s="296"/>
      <c r="L106" s="296"/>
      <c r="M106" s="296"/>
      <c r="N106" s="296"/>
      <c r="O106" s="296"/>
      <c r="P106" s="296"/>
      <c r="Q106" s="296"/>
      <c r="R106" s="447"/>
      <c r="S106" s="283"/>
    </row>
    <row r="107" spans="1:19" s="337" customFormat="1" ht="22.5" customHeight="1" x14ac:dyDescent="0.3">
      <c r="A107" s="279">
        <v>98</v>
      </c>
      <c r="B107" s="293">
        <v>11</v>
      </c>
      <c r="C107" s="294"/>
      <c r="D107" s="317" t="s">
        <v>289</v>
      </c>
      <c r="E107" s="317"/>
      <c r="F107" s="296">
        <v>659994</v>
      </c>
      <c r="G107" s="296">
        <v>275654</v>
      </c>
      <c r="H107" s="297">
        <v>377506</v>
      </c>
      <c r="I107" s="298"/>
      <c r="J107" s="296"/>
      <c r="K107" s="296"/>
      <c r="L107" s="296"/>
      <c r="M107" s="296"/>
      <c r="N107" s="296"/>
      <c r="O107" s="296"/>
      <c r="P107" s="296"/>
      <c r="Q107" s="296"/>
      <c r="R107" s="447"/>
      <c r="S107" s="283"/>
    </row>
    <row r="108" spans="1:19" s="306" customFormat="1" ht="18" customHeight="1" x14ac:dyDescent="0.3">
      <c r="A108" s="279">
        <v>99</v>
      </c>
      <c r="B108" s="300"/>
      <c r="C108" s="301"/>
      <c r="D108" s="302"/>
      <c r="E108" s="371" t="s">
        <v>245</v>
      </c>
      <c r="F108" s="304"/>
      <c r="G108" s="304"/>
      <c r="H108" s="305"/>
      <c r="I108" s="242">
        <f>SUM(J108:Q108)</f>
        <v>345036</v>
      </c>
      <c r="J108" s="304">
        <v>33002</v>
      </c>
      <c r="K108" s="304"/>
      <c r="L108" s="304"/>
      <c r="M108" s="304"/>
      <c r="N108" s="304"/>
      <c r="O108" s="304"/>
      <c r="P108" s="304">
        <v>15836</v>
      </c>
      <c r="Q108" s="304">
        <v>296198</v>
      </c>
      <c r="R108" s="520">
        <v>63080</v>
      </c>
    </row>
    <row r="109" spans="1:19" s="306" customFormat="1" ht="18" customHeight="1" x14ac:dyDescent="0.3">
      <c r="A109" s="279">
        <v>100</v>
      </c>
      <c r="B109" s="300"/>
      <c r="C109" s="301"/>
      <c r="D109" s="302"/>
      <c r="E109" s="377" t="s">
        <v>810</v>
      </c>
      <c r="F109" s="304"/>
      <c r="G109" s="304"/>
      <c r="H109" s="305"/>
      <c r="I109" s="914">
        <f>SUM(J109:Q109)</f>
        <v>377972</v>
      </c>
      <c r="J109" s="443">
        <v>33002</v>
      </c>
      <c r="K109" s="443"/>
      <c r="L109" s="443">
        <v>817</v>
      </c>
      <c r="M109" s="443"/>
      <c r="N109" s="443"/>
      <c r="O109" s="443"/>
      <c r="P109" s="443">
        <v>33442</v>
      </c>
      <c r="Q109" s="443">
        <v>310711</v>
      </c>
      <c r="R109" s="1463">
        <v>63080</v>
      </c>
    </row>
    <row r="110" spans="1:19" s="306" customFormat="1" ht="18" customHeight="1" x14ac:dyDescent="0.3">
      <c r="A110" s="279">
        <v>101</v>
      </c>
      <c r="B110" s="300"/>
      <c r="C110" s="301"/>
      <c r="D110" s="302"/>
      <c r="E110" s="910" t="s">
        <v>1072</v>
      </c>
      <c r="F110" s="304"/>
      <c r="G110" s="304"/>
      <c r="H110" s="305"/>
      <c r="I110" s="913">
        <f>SUM(J110:Q110)</f>
        <v>300</v>
      </c>
      <c r="J110" s="304"/>
      <c r="K110" s="304"/>
      <c r="L110" s="304"/>
      <c r="M110" s="304"/>
      <c r="N110" s="304"/>
      <c r="O110" s="304"/>
      <c r="P110" s="299"/>
      <c r="Q110" s="299">
        <v>300</v>
      </c>
      <c r="R110" s="520"/>
    </row>
    <row r="111" spans="1:19" s="306" customFormat="1" ht="18" customHeight="1" x14ac:dyDescent="0.3">
      <c r="A111" s="279">
        <v>102</v>
      </c>
      <c r="B111" s="300"/>
      <c r="C111" s="301"/>
      <c r="D111" s="302"/>
      <c r="E111" s="910" t="s">
        <v>1070</v>
      </c>
      <c r="F111" s="304"/>
      <c r="G111" s="304"/>
      <c r="H111" s="305"/>
      <c r="I111" s="913">
        <f>SUM(J111:Q111)</f>
        <v>300</v>
      </c>
      <c r="J111" s="304"/>
      <c r="K111" s="304"/>
      <c r="L111" s="304"/>
      <c r="M111" s="304"/>
      <c r="N111" s="304"/>
      <c r="O111" s="304"/>
      <c r="P111" s="299"/>
      <c r="Q111" s="299">
        <v>300</v>
      </c>
      <c r="R111" s="520"/>
    </row>
    <row r="112" spans="1:19" s="306" customFormat="1" ht="18" customHeight="1" x14ac:dyDescent="0.3">
      <c r="A112" s="279">
        <v>103</v>
      </c>
      <c r="B112" s="300"/>
      <c r="C112" s="301"/>
      <c r="D112" s="302"/>
      <c r="E112" s="377" t="s">
        <v>858</v>
      </c>
      <c r="F112" s="304"/>
      <c r="G112" s="304"/>
      <c r="H112" s="305"/>
      <c r="I112" s="914">
        <f>SUM(J112:Q112)</f>
        <v>378572</v>
      </c>
      <c r="J112" s="443">
        <f>SUM(J109:J111)</f>
        <v>33002</v>
      </c>
      <c r="K112" s="443"/>
      <c r="L112" s="443">
        <f>SUM(L109:L111)</f>
        <v>817</v>
      </c>
      <c r="M112" s="443"/>
      <c r="N112" s="443"/>
      <c r="O112" s="443"/>
      <c r="P112" s="443">
        <f>SUM(P109:P111)</f>
        <v>33442</v>
      </c>
      <c r="Q112" s="443">
        <f>SUM(Q109:Q111)</f>
        <v>311311</v>
      </c>
      <c r="R112" s="921">
        <f t="shared" ref="R112" si="22">SUM(R109:R111)</f>
        <v>63080</v>
      </c>
    </row>
    <row r="113" spans="1:19" s="311" customFormat="1" ht="22.5" customHeight="1" x14ac:dyDescent="0.3">
      <c r="A113" s="279">
        <v>104</v>
      </c>
      <c r="B113" s="293">
        <v>12</v>
      </c>
      <c r="C113" s="294"/>
      <c r="D113" s="317" t="s">
        <v>636</v>
      </c>
      <c r="E113" s="339"/>
      <c r="F113" s="296">
        <v>719597</v>
      </c>
      <c r="G113" s="296">
        <v>671116</v>
      </c>
      <c r="H113" s="297">
        <v>751374</v>
      </c>
      <c r="I113" s="298"/>
      <c r="J113" s="296"/>
      <c r="K113" s="296"/>
      <c r="L113" s="296"/>
      <c r="M113" s="296"/>
      <c r="N113" s="296"/>
      <c r="O113" s="296"/>
      <c r="P113" s="296"/>
      <c r="Q113" s="296"/>
      <c r="R113" s="447"/>
    </row>
    <row r="114" spans="1:19" s="318" customFormat="1" ht="18" customHeight="1" x14ac:dyDescent="0.3">
      <c r="A114" s="279">
        <v>105</v>
      </c>
      <c r="B114" s="300"/>
      <c r="C114" s="301"/>
      <c r="D114" s="302"/>
      <c r="E114" s="371" t="s">
        <v>245</v>
      </c>
      <c r="F114" s="304"/>
      <c r="G114" s="304"/>
      <c r="H114" s="305"/>
      <c r="I114" s="242">
        <f>SUM(J114:Q114)</f>
        <v>701280</v>
      </c>
      <c r="J114" s="304">
        <v>42806</v>
      </c>
      <c r="K114" s="304"/>
      <c r="L114" s="304"/>
      <c r="M114" s="304"/>
      <c r="N114" s="304"/>
      <c r="O114" s="304"/>
      <c r="P114" s="304">
        <v>11152</v>
      </c>
      <c r="Q114" s="304">
        <v>647322</v>
      </c>
      <c r="R114" s="520">
        <v>327956</v>
      </c>
    </row>
    <row r="115" spans="1:19" s="318" customFormat="1" ht="18" customHeight="1" x14ac:dyDescent="0.3">
      <c r="A115" s="279">
        <v>106</v>
      </c>
      <c r="B115" s="300"/>
      <c r="C115" s="301"/>
      <c r="D115" s="302"/>
      <c r="E115" s="377" t="s">
        <v>810</v>
      </c>
      <c r="F115" s="304"/>
      <c r="G115" s="304"/>
      <c r="H115" s="305"/>
      <c r="I115" s="914">
        <f>SUM(J115:Q115)</f>
        <v>771437</v>
      </c>
      <c r="J115" s="443">
        <v>42806</v>
      </c>
      <c r="K115" s="443"/>
      <c r="L115" s="443"/>
      <c r="M115" s="443"/>
      <c r="N115" s="443"/>
      <c r="O115" s="443"/>
      <c r="P115" s="443">
        <v>75526</v>
      </c>
      <c r="Q115" s="443">
        <v>653105</v>
      </c>
      <c r="R115" s="1463">
        <v>327956</v>
      </c>
    </row>
    <row r="116" spans="1:19" s="318" customFormat="1" ht="18" customHeight="1" x14ac:dyDescent="0.3">
      <c r="A116" s="279">
        <v>107</v>
      </c>
      <c r="B116" s="300"/>
      <c r="C116" s="301"/>
      <c r="D116" s="302"/>
      <c r="E116" s="910" t="s">
        <v>1144</v>
      </c>
      <c r="F116" s="304"/>
      <c r="G116" s="304"/>
      <c r="H116" s="305"/>
      <c r="I116" s="913">
        <f>SUM(J116:Q116)</f>
        <v>935</v>
      </c>
      <c r="J116" s="299">
        <v>935</v>
      </c>
      <c r="K116" s="304"/>
      <c r="L116" s="304"/>
      <c r="M116" s="304"/>
      <c r="N116" s="304"/>
      <c r="O116" s="304"/>
      <c r="P116" s="299"/>
      <c r="Q116" s="299"/>
      <c r="R116" s="520"/>
    </row>
    <row r="117" spans="1:19" s="318" customFormat="1" ht="18" customHeight="1" x14ac:dyDescent="0.3">
      <c r="A117" s="279">
        <v>108</v>
      </c>
      <c r="B117" s="300"/>
      <c r="C117" s="301"/>
      <c r="D117" s="302"/>
      <c r="E117" s="910" t="s">
        <v>925</v>
      </c>
      <c r="F117" s="304"/>
      <c r="G117" s="304"/>
      <c r="H117" s="305"/>
      <c r="I117" s="913">
        <f t="shared" ref="I117:I120" si="23">SUM(J117:Q117)</f>
        <v>784</v>
      </c>
      <c r="J117" s="304"/>
      <c r="K117" s="299"/>
      <c r="L117" s="299">
        <v>784</v>
      </c>
      <c r="M117" s="299"/>
      <c r="N117" s="299"/>
      <c r="O117" s="299"/>
      <c r="P117" s="299"/>
      <c r="Q117" s="299"/>
      <c r="R117" s="520"/>
    </row>
    <row r="118" spans="1:19" s="318" customFormat="1" ht="18" customHeight="1" x14ac:dyDescent="0.3">
      <c r="A118" s="279">
        <v>109</v>
      </c>
      <c r="B118" s="300"/>
      <c r="C118" s="301"/>
      <c r="D118" s="302"/>
      <c r="E118" s="910" t="s">
        <v>926</v>
      </c>
      <c r="F118" s="304"/>
      <c r="G118" s="304"/>
      <c r="H118" s="305"/>
      <c r="I118" s="913">
        <f t="shared" si="23"/>
        <v>160</v>
      </c>
      <c r="J118" s="304"/>
      <c r="K118" s="299"/>
      <c r="L118" s="299"/>
      <c r="M118" s="299"/>
      <c r="N118" s="299"/>
      <c r="O118" s="299">
        <v>160</v>
      </c>
      <c r="P118" s="299"/>
      <c r="Q118" s="299"/>
      <c r="R118" s="520"/>
    </row>
    <row r="119" spans="1:19" s="318" customFormat="1" ht="18" customHeight="1" x14ac:dyDescent="0.3">
      <c r="A119" s="279">
        <v>110</v>
      </c>
      <c r="B119" s="300"/>
      <c r="C119" s="301"/>
      <c r="D119" s="302"/>
      <c r="E119" s="910" t="s">
        <v>1053</v>
      </c>
      <c r="F119" s="304"/>
      <c r="G119" s="304"/>
      <c r="H119" s="305"/>
      <c r="I119" s="913">
        <f t="shared" si="23"/>
        <v>300</v>
      </c>
      <c r="J119" s="304"/>
      <c r="K119" s="299"/>
      <c r="L119" s="299"/>
      <c r="M119" s="299"/>
      <c r="N119" s="299"/>
      <c r="O119" s="299"/>
      <c r="P119" s="299"/>
      <c r="Q119" s="299">
        <v>300</v>
      </c>
      <c r="R119" s="520"/>
    </row>
    <row r="120" spans="1:19" s="318" customFormat="1" ht="18" customHeight="1" x14ac:dyDescent="0.3">
      <c r="A120" s="279">
        <v>111</v>
      </c>
      <c r="B120" s="300"/>
      <c r="C120" s="301"/>
      <c r="D120" s="302"/>
      <c r="E120" s="910" t="s">
        <v>1100</v>
      </c>
      <c r="F120" s="304"/>
      <c r="G120" s="304"/>
      <c r="H120" s="305"/>
      <c r="I120" s="913">
        <f t="shared" si="23"/>
        <v>150</v>
      </c>
      <c r="J120" s="304"/>
      <c r="K120" s="299"/>
      <c r="L120" s="299"/>
      <c r="M120" s="299"/>
      <c r="N120" s="299"/>
      <c r="O120" s="299"/>
      <c r="P120" s="299"/>
      <c r="Q120" s="299">
        <v>150</v>
      </c>
      <c r="R120" s="520"/>
    </row>
    <row r="121" spans="1:19" s="318" customFormat="1" ht="18" customHeight="1" x14ac:dyDescent="0.3">
      <c r="A121" s="279">
        <v>112</v>
      </c>
      <c r="B121" s="300"/>
      <c r="C121" s="301"/>
      <c r="D121" s="302"/>
      <c r="E121" s="377" t="s">
        <v>858</v>
      </c>
      <c r="F121" s="304"/>
      <c r="G121" s="304"/>
      <c r="H121" s="305"/>
      <c r="I121" s="914">
        <f>SUM(J121:Q121)</f>
        <v>773766</v>
      </c>
      <c r="J121" s="443">
        <f>SUM(J115:J120)</f>
        <v>43741</v>
      </c>
      <c r="K121" s="443"/>
      <c r="L121" s="443">
        <f t="shared" ref="L121:R121" si="24">SUM(L115:L120)</f>
        <v>784</v>
      </c>
      <c r="M121" s="443"/>
      <c r="N121" s="443"/>
      <c r="O121" s="443">
        <f t="shared" si="24"/>
        <v>160</v>
      </c>
      <c r="P121" s="443">
        <f t="shared" si="24"/>
        <v>75526</v>
      </c>
      <c r="Q121" s="443">
        <f t="shared" si="24"/>
        <v>653555</v>
      </c>
      <c r="R121" s="921">
        <f t="shared" si="24"/>
        <v>327956</v>
      </c>
    </row>
    <row r="122" spans="1:19" s="311" customFormat="1" ht="30" customHeight="1" x14ac:dyDescent="0.3">
      <c r="A122" s="279">
        <v>113</v>
      </c>
      <c r="B122" s="312"/>
      <c r="C122" s="336">
        <v>2</v>
      </c>
      <c r="D122" s="1871" t="s">
        <v>309</v>
      </c>
      <c r="E122" s="1872"/>
      <c r="F122" s="296">
        <v>24753</v>
      </c>
      <c r="G122" s="296"/>
      <c r="H122" s="297"/>
      <c r="I122" s="298"/>
      <c r="J122" s="296"/>
      <c r="K122" s="296"/>
      <c r="L122" s="296"/>
      <c r="M122" s="296"/>
      <c r="N122" s="296"/>
      <c r="O122" s="296"/>
      <c r="P122" s="296"/>
      <c r="Q122" s="296"/>
      <c r="R122" s="447"/>
    </row>
    <row r="123" spans="1:19" s="311" customFormat="1" ht="22.5" customHeight="1" x14ac:dyDescent="0.3">
      <c r="A123" s="279">
        <v>114</v>
      </c>
      <c r="B123" s="293">
        <v>13</v>
      </c>
      <c r="C123" s="294"/>
      <c r="D123" s="317" t="s">
        <v>30</v>
      </c>
      <c r="E123" s="339"/>
      <c r="F123" s="296">
        <v>743638</v>
      </c>
      <c r="G123" s="296">
        <v>689496</v>
      </c>
      <c r="H123" s="297">
        <v>803904</v>
      </c>
      <c r="I123" s="298"/>
      <c r="J123" s="296"/>
      <c r="K123" s="296"/>
      <c r="L123" s="296"/>
      <c r="M123" s="296"/>
      <c r="N123" s="296"/>
      <c r="O123" s="296"/>
      <c r="P123" s="296"/>
      <c r="Q123" s="296"/>
      <c r="R123" s="447"/>
    </row>
    <row r="124" spans="1:19" s="318" customFormat="1" ht="18" customHeight="1" x14ac:dyDescent="0.3">
      <c r="A124" s="279">
        <v>115</v>
      </c>
      <c r="B124" s="300"/>
      <c r="C124" s="301"/>
      <c r="D124" s="302"/>
      <c r="E124" s="371" t="s">
        <v>245</v>
      </c>
      <c r="F124" s="304"/>
      <c r="G124" s="304"/>
      <c r="H124" s="305"/>
      <c r="I124" s="242">
        <f>SUM(J124:Q124)</f>
        <v>567474</v>
      </c>
      <c r="J124" s="304">
        <v>136895</v>
      </c>
      <c r="K124" s="304"/>
      <c r="L124" s="304"/>
      <c r="M124" s="304"/>
      <c r="N124" s="304"/>
      <c r="O124" s="304"/>
      <c r="P124" s="304">
        <v>18730</v>
      </c>
      <c r="Q124" s="304">
        <v>411849</v>
      </c>
      <c r="R124" s="520">
        <v>159352</v>
      </c>
    </row>
    <row r="125" spans="1:19" s="318" customFormat="1" ht="18" customHeight="1" x14ac:dyDescent="0.3">
      <c r="A125" s="279">
        <v>116</v>
      </c>
      <c r="B125" s="300"/>
      <c r="C125" s="301"/>
      <c r="D125" s="302"/>
      <c r="E125" s="377" t="s">
        <v>810</v>
      </c>
      <c r="F125" s="304"/>
      <c r="G125" s="304"/>
      <c r="H125" s="305"/>
      <c r="I125" s="914">
        <f>SUM(J125:Q125)</f>
        <v>606482</v>
      </c>
      <c r="J125" s="443">
        <v>141924</v>
      </c>
      <c r="K125" s="443"/>
      <c r="L125" s="443"/>
      <c r="M125" s="443"/>
      <c r="N125" s="443"/>
      <c r="O125" s="443"/>
      <c r="P125" s="443">
        <v>50499</v>
      </c>
      <c r="Q125" s="443">
        <v>414059</v>
      </c>
      <c r="R125" s="1463">
        <v>159352</v>
      </c>
    </row>
    <row r="126" spans="1:19" s="318" customFormat="1" ht="18" customHeight="1" x14ac:dyDescent="0.3">
      <c r="A126" s="279">
        <v>117</v>
      </c>
      <c r="B126" s="300"/>
      <c r="C126" s="301"/>
      <c r="D126" s="302"/>
      <c r="E126" s="910" t="s">
        <v>992</v>
      </c>
      <c r="F126" s="304"/>
      <c r="G126" s="304"/>
      <c r="H126" s="305"/>
      <c r="I126" s="913">
        <f>SUM(J126:Q126)</f>
        <v>1012</v>
      </c>
      <c r="J126" s="299">
        <v>118</v>
      </c>
      <c r="K126" s="299">
        <v>894</v>
      </c>
      <c r="L126" s="304"/>
      <c r="M126" s="304"/>
      <c r="N126" s="304"/>
      <c r="O126" s="304"/>
      <c r="P126" s="299"/>
      <c r="Q126" s="299"/>
      <c r="R126" s="520"/>
    </row>
    <row r="127" spans="1:19" s="318" customFormat="1" ht="18" customHeight="1" x14ac:dyDescent="0.3">
      <c r="A127" s="279">
        <v>118</v>
      </c>
      <c r="B127" s="300"/>
      <c r="C127" s="301"/>
      <c r="D127" s="302"/>
      <c r="E127" s="377" t="s">
        <v>858</v>
      </c>
      <c r="F127" s="304"/>
      <c r="G127" s="304"/>
      <c r="H127" s="305"/>
      <c r="I127" s="914">
        <f>SUM(J127:Q127)</f>
        <v>607494</v>
      </c>
      <c r="J127" s="443">
        <f>SUM(J125:J126)</f>
        <v>142042</v>
      </c>
      <c r="K127" s="443">
        <f>SUM(K125:K126)</f>
        <v>894</v>
      </c>
      <c r="L127" s="443"/>
      <c r="M127" s="443"/>
      <c r="N127" s="443"/>
      <c r="O127" s="443"/>
      <c r="P127" s="443">
        <f>SUM(P125:P126)</f>
        <v>50499</v>
      </c>
      <c r="Q127" s="443">
        <f>SUM(Q125:Q126)</f>
        <v>414059</v>
      </c>
      <c r="R127" s="921">
        <f>SUM(R125:R126)</f>
        <v>159352</v>
      </c>
    </row>
    <row r="128" spans="1:19" s="337" customFormat="1" ht="18" customHeight="1" x14ac:dyDescent="0.3">
      <c r="A128" s="279">
        <v>119</v>
      </c>
      <c r="B128" s="293"/>
      <c r="C128" s="294">
        <v>1</v>
      </c>
      <c r="D128" s="308" t="s">
        <v>339</v>
      </c>
      <c r="E128" s="527"/>
      <c r="F128" s="296">
        <v>8944</v>
      </c>
      <c r="G128" s="296"/>
      <c r="H128" s="297"/>
      <c r="I128" s="298"/>
      <c r="J128" s="296"/>
      <c r="K128" s="296"/>
      <c r="L128" s="296"/>
      <c r="M128" s="296"/>
      <c r="N128" s="296"/>
      <c r="O128" s="296"/>
      <c r="P128" s="296"/>
      <c r="Q128" s="296"/>
      <c r="R128" s="447"/>
      <c r="S128" s="283"/>
    </row>
    <row r="129" spans="1:19" s="337" customFormat="1" ht="30" customHeight="1" x14ac:dyDescent="0.3">
      <c r="A129" s="279">
        <v>120</v>
      </c>
      <c r="B129" s="293"/>
      <c r="C129" s="336">
        <v>2</v>
      </c>
      <c r="D129" s="1876" t="s">
        <v>359</v>
      </c>
      <c r="E129" s="1877"/>
      <c r="F129" s="296">
        <v>2350</v>
      </c>
      <c r="G129" s="296"/>
      <c r="H129" s="297"/>
      <c r="I129" s="298"/>
      <c r="J129" s="296"/>
      <c r="K129" s="296"/>
      <c r="L129" s="296"/>
      <c r="M129" s="296"/>
      <c r="N129" s="296"/>
      <c r="O129" s="296"/>
      <c r="P129" s="296"/>
      <c r="Q129" s="296"/>
      <c r="R129" s="447"/>
      <c r="S129" s="283"/>
    </row>
    <row r="130" spans="1:19" s="337" customFormat="1" ht="18" customHeight="1" x14ac:dyDescent="0.3">
      <c r="A130" s="279">
        <v>121</v>
      </c>
      <c r="B130" s="293"/>
      <c r="C130" s="294">
        <v>3</v>
      </c>
      <c r="D130" s="1871" t="s">
        <v>382</v>
      </c>
      <c r="E130" s="1872"/>
      <c r="F130" s="296">
        <v>6250</v>
      </c>
      <c r="G130" s="296"/>
      <c r="H130" s="297"/>
      <c r="I130" s="298"/>
      <c r="J130" s="296"/>
      <c r="K130" s="296"/>
      <c r="L130" s="296"/>
      <c r="M130" s="296"/>
      <c r="N130" s="296"/>
      <c r="O130" s="296"/>
      <c r="P130" s="296"/>
      <c r="Q130" s="296"/>
      <c r="R130" s="447"/>
      <c r="S130" s="283"/>
    </row>
    <row r="131" spans="1:19" s="311" customFormat="1" ht="22.5" customHeight="1" x14ac:dyDescent="0.3">
      <c r="A131" s="279">
        <v>122</v>
      </c>
      <c r="B131" s="293">
        <v>14</v>
      </c>
      <c r="C131" s="294"/>
      <c r="D131" s="317" t="s">
        <v>290</v>
      </c>
      <c r="E131" s="317"/>
      <c r="F131" s="296">
        <v>414902</v>
      </c>
      <c r="G131" s="296">
        <v>265743</v>
      </c>
      <c r="H131" s="297">
        <v>374415</v>
      </c>
      <c r="I131" s="298"/>
      <c r="J131" s="296"/>
      <c r="K131" s="296"/>
      <c r="L131" s="296"/>
      <c r="M131" s="296"/>
      <c r="N131" s="296"/>
      <c r="O131" s="296"/>
      <c r="P131" s="296"/>
      <c r="Q131" s="296"/>
      <c r="R131" s="447"/>
    </row>
    <row r="132" spans="1:19" s="318" customFormat="1" ht="18" customHeight="1" x14ac:dyDescent="0.3">
      <c r="A132" s="279">
        <v>123</v>
      </c>
      <c r="B132" s="300"/>
      <c r="C132" s="301"/>
      <c r="D132" s="302"/>
      <c r="E132" s="371" t="s">
        <v>245</v>
      </c>
      <c r="F132" s="304"/>
      <c r="G132" s="304"/>
      <c r="H132" s="305"/>
      <c r="I132" s="242">
        <f>SUM(J132:Q132)</f>
        <v>417855</v>
      </c>
      <c r="J132" s="304">
        <v>54730</v>
      </c>
      <c r="K132" s="304"/>
      <c r="L132" s="304">
        <v>5000</v>
      </c>
      <c r="M132" s="304">
        <v>4445</v>
      </c>
      <c r="N132" s="304"/>
      <c r="O132" s="304"/>
      <c r="P132" s="304">
        <v>40974</v>
      </c>
      <c r="Q132" s="304">
        <v>312706</v>
      </c>
      <c r="R132" s="520">
        <v>79619</v>
      </c>
    </row>
    <row r="133" spans="1:19" s="318" customFormat="1" ht="18" customHeight="1" x14ac:dyDescent="0.3">
      <c r="A133" s="279">
        <v>124</v>
      </c>
      <c r="B133" s="300"/>
      <c r="C133" s="301"/>
      <c r="D133" s="302"/>
      <c r="E133" s="377" t="s">
        <v>810</v>
      </c>
      <c r="F133" s="304"/>
      <c r="G133" s="304"/>
      <c r="H133" s="305"/>
      <c r="I133" s="914">
        <f>SUM(J133:Q133)</f>
        <v>437024</v>
      </c>
      <c r="J133" s="443">
        <v>55675</v>
      </c>
      <c r="K133" s="443"/>
      <c r="L133" s="443">
        <v>500</v>
      </c>
      <c r="M133" s="443">
        <v>3500</v>
      </c>
      <c r="N133" s="443"/>
      <c r="O133" s="443">
        <v>5000</v>
      </c>
      <c r="P133" s="443">
        <v>49068</v>
      </c>
      <c r="Q133" s="443">
        <v>323281</v>
      </c>
      <c r="R133" s="1463">
        <v>79619</v>
      </c>
    </row>
    <row r="134" spans="1:19" s="318" customFormat="1" ht="18" customHeight="1" x14ac:dyDescent="0.3">
      <c r="A134" s="279">
        <v>125</v>
      </c>
      <c r="B134" s="300"/>
      <c r="C134" s="301"/>
      <c r="D134" s="302"/>
      <c r="E134" s="910" t="s">
        <v>1138</v>
      </c>
      <c r="F134" s="304"/>
      <c r="G134" s="304"/>
      <c r="H134" s="305"/>
      <c r="I134" s="913">
        <f>SUM(J134:Q134)</f>
        <v>16500</v>
      </c>
      <c r="J134" s="299">
        <v>16500</v>
      </c>
      <c r="K134" s="304"/>
      <c r="L134" s="304"/>
      <c r="M134" s="304"/>
      <c r="N134" s="304"/>
      <c r="O134" s="304"/>
      <c r="P134" s="299"/>
      <c r="Q134" s="299"/>
      <c r="R134" s="520"/>
    </row>
    <row r="135" spans="1:19" s="318" customFormat="1" ht="18" customHeight="1" x14ac:dyDescent="0.3">
      <c r="A135" s="279">
        <v>126</v>
      </c>
      <c r="B135" s="300"/>
      <c r="C135" s="301"/>
      <c r="D135" s="302"/>
      <c r="E135" s="910" t="s">
        <v>1032</v>
      </c>
      <c r="F135" s="304"/>
      <c r="G135" s="304"/>
      <c r="H135" s="305"/>
      <c r="I135" s="913">
        <f t="shared" ref="I135:I137" si="25">SUM(J135:Q135)</f>
        <v>3000</v>
      </c>
      <c r="J135" s="304"/>
      <c r="K135" s="299">
        <v>3000</v>
      </c>
      <c r="L135" s="299"/>
      <c r="M135" s="304"/>
      <c r="N135" s="304"/>
      <c r="O135" s="299"/>
      <c r="P135" s="299"/>
      <c r="Q135" s="304"/>
      <c r="R135" s="520"/>
    </row>
    <row r="136" spans="1:19" s="318" customFormat="1" ht="18" customHeight="1" x14ac:dyDescent="0.3">
      <c r="A136" s="279">
        <v>127</v>
      </c>
      <c r="B136" s="300"/>
      <c r="C136" s="301"/>
      <c r="D136" s="302"/>
      <c r="E136" s="910" t="s">
        <v>1033</v>
      </c>
      <c r="F136" s="304"/>
      <c r="G136" s="304"/>
      <c r="H136" s="305"/>
      <c r="I136" s="913">
        <f t="shared" si="25"/>
        <v>-475</v>
      </c>
      <c r="J136" s="304"/>
      <c r="K136" s="299"/>
      <c r="L136" s="299"/>
      <c r="M136" s="304"/>
      <c r="N136" s="304"/>
      <c r="O136" s="299"/>
      <c r="P136" s="299"/>
      <c r="Q136" s="299">
        <v>-475</v>
      </c>
      <c r="R136" s="520"/>
    </row>
    <row r="137" spans="1:19" s="318" customFormat="1" ht="18" customHeight="1" x14ac:dyDescent="0.3">
      <c r="A137" s="279">
        <v>128</v>
      </c>
      <c r="B137" s="300"/>
      <c r="C137" s="301"/>
      <c r="D137" s="302"/>
      <c r="E137" s="910" t="s">
        <v>1034</v>
      </c>
      <c r="F137" s="304"/>
      <c r="G137" s="304"/>
      <c r="H137" s="305"/>
      <c r="I137" s="913">
        <f t="shared" si="25"/>
        <v>7000</v>
      </c>
      <c r="J137" s="304"/>
      <c r="K137" s="304"/>
      <c r="L137" s="299"/>
      <c r="M137" s="304"/>
      <c r="N137" s="304"/>
      <c r="O137" s="299"/>
      <c r="P137" s="299"/>
      <c r="Q137" s="299">
        <v>7000</v>
      </c>
      <c r="R137" s="520"/>
    </row>
    <row r="138" spans="1:19" s="318" customFormat="1" ht="18" customHeight="1" x14ac:dyDescent="0.3">
      <c r="A138" s="279">
        <v>129</v>
      </c>
      <c r="B138" s="300"/>
      <c r="C138" s="301"/>
      <c r="D138" s="302"/>
      <c r="E138" s="377" t="s">
        <v>858</v>
      </c>
      <c r="F138" s="304"/>
      <c r="G138" s="304"/>
      <c r="H138" s="305"/>
      <c r="I138" s="914">
        <f>SUM(J138:Q138)</f>
        <v>463049</v>
      </c>
      <c r="J138" s="443">
        <f>SUM(J133:J137)</f>
        <v>72175</v>
      </c>
      <c r="K138" s="443">
        <f>SUM(K133:K137)</f>
        <v>3000</v>
      </c>
      <c r="L138" s="443">
        <f>SUM(L133:L137)</f>
        <v>500</v>
      </c>
      <c r="M138" s="443">
        <f>SUM(M133:M137)</f>
        <v>3500</v>
      </c>
      <c r="N138" s="443"/>
      <c r="O138" s="443">
        <f>SUM(O133:O137)</f>
        <v>5000</v>
      </c>
      <c r="P138" s="443">
        <f>SUM(P133:P137)</f>
        <v>49068</v>
      </c>
      <c r="Q138" s="443">
        <f>SUM(Q133:Q137)</f>
        <v>329806</v>
      </c>
      <c r="R138" s="921">
        <f>SUM(R133:R137)</f>
        <v>79619</v>
      </c>
    </row>
    <row r="139" spans="1:19" s="309" customFormat="1" ht="22.5" customHeight="1" x14ac:dyDescent="0.3">
      <c r="A139" s="279">
        <v>130</v>
      </c>
      <c r="B139" s="293">
        <v>15</v>
      </c>
      <c r="C139" s="294"/>
      <c r="D139" s="317" t="s">
        <v>119</v>
      </c>
      <c r="E139" s="339"/>
      <c r="F139" s="296">
        <v>1371608</v>
      </c>
      <c r="G139" s="296">
        <v>950477</v>
      </c>
      <c r="H139" s="297">
        <v>1311456</v>
      </c>
      <c r="I139" s="298"/>
      <c r="J139" s="296"/>
      <c r="K139" s="296"/>
      <c r="L139" s="296"/>
      <c r="M139" s="296"/>
      <c r="N139" s="296"/>
      <c r="O139" s="296"/>
      <c r="P139" s="296"/>
      <c r="Q139" s="296"/>
      <c r="R139" s="447"/>
    </row>
    <row r="140" spans="1:19" s="310" customFormat="1" ht="18" customHeight="1" x14ac:dyDescent="0.3">
      <c r="A140" s="279">
        <v>131</v>
      </c>
      <c r="B140" s="300"/>
      <c r="C140" s="330"/>
      <c r="D140" s="301"/>
      <c r="E140" s="332" t="s">
        <v>245</v>
      </c>
      <c r="F140" s="333"/>
      <c r="G140" s="333"/>
      <c r="H140" s="334"/>
      <c r="I140" s="335">
        <f>SUM(J140:Q140)</f>
        <v>1005749</v>
      </c>
      <c r="J140" s="333">
        <v>277000</v>
      </c>
      <c r="K140" s="333">
        <v>10000</v>
      </c>
      <c r="L140" s="333"/>
      <c r="M140" s="333"/>
      <c r="N140" s="333"/>
      <c r="O140" s="333"/>
      <c r="P140" s="333">
        <v>64720</v>
      </c>
      <c r="Q140" s="333">
        <v>654029</v>
      </c>
      <c r="R140" s="522">
        <v>436728</v>
      </c>
    </row>
    <row r="141" spans="1:19" s="310" customFormat="1" ht="18" customHeight="1" x14ac:dyDescent="0.3">
      <c r="A141" s="279">
        <v>132</v>
      </c>
      <c r="B141" s="300"/>
      <c r="C141" s="891"/>
      <c r="D141" s="301"/>
      <c r="E141" s="377" t="s">
        <v>810</v>
      </c>
      <c r="F141" s="333"/>
      <c r="G141" s="333"/>
      <c r="H141" s="334"/>
      <c r="I141" s="1468">
        <f>SUM(J141:Q141)</f>
        <v>1077172</v>
      </c>
      <c r="J141" s="1175">
        <v>277000</v>
      </c>
      <c r="K141" s="1175">
        <v>10000</v>
      </c>
      <c r="L141" s="1175"/>
      <c r="M141" s="1175"/>
      <c r="N141" s="1175"/>
      <c r="O141" s="1175"/>
      <c r="P141" s="1175">
        <v>117259</v>
      </c>
      <c r="Q141" s="1175">
        <v>672913</v>
      </c>
      <c r="R141" s="1471">
        <v>436728</v>
      </c>
    </row>
    <row r="142" spans="1:19" s="310" customFormat="1" ht="18" customHeight="1" x14ac:dyDescent="0.3">
      <c r="A142" s="279">
        <v>133</v>
      </c>
      <c r="B142" s="300"/>
      <c r="C142" s="892"/>
      <c r="D142" s="301"/>
      <c r="E142" s="910" t="s">
        <v>910</v>
      </c>
      <c r="F142" s="304"/>
      <c r="G142" s="304"/>
      <c r="H142" s="305"/>
      <c r="I142" s="913">
        <f>SUM(J142:Q142)</f>
        <v>139440</v>
      </c>
      <c r="J142" s="304"/>
      <c r="K142" s="304"/>
      <c r="L142" s="304"/>
      <c r="M142" s="304"/>
      <c r="N142" s="304"/>
      <c r="O142" s="304"/>
      <c r="P142" s="299"/>
      <c r="Q142" s="299">
        <v>139440</v>
      </c>
      <c r="R142" s="447">
        <v>53353</v>
      </c>
    </row>
    <row r="143" spans="1:19" s="310" customFormat="1" ht="18" customHeight="1" x14ac:dyDescent="0.3">
      <c r="A143" s="279">
        <v>134</v>
      </c>
      <c r="B143" s="300"/>
      <c r="C143" s="301"/>
      <c r="D143" s="301"/>
      <c r="E143" s="910" t="s">
        <v>1081</v>
      </c>
      <c r="F143" s="304"/>
      <c r="G143" s="304"/>
      <c r="H143" s="305"/>
      <c r="I143" s="913">
        <f t="shared" ref="I143" si="26">SUM(J143:Q143)</f>
        <v>37000</v>
      </c>
      <c r="J143" s="304"/>
      <c r="K143" s="299">
        <v>32000</v>
      </c>
      <c r="L143" s="304"/>
      <c r="M143" s="304"/>
      <c r="N143" s="299">
        <v>5000</v>
      </c>
      <c r="O143" s="304"/>
      <c r="P143" s="299"/>
      <c r="Q143" s="299"/>
      <c r="R143" s="520"/>
    </row>
    <row r="144" spans="1:19" s="310" customFormat="1" ht="18" customHeight="1" thickBot="1" x14ac:dyDescent="0.35">
      <c r="A144" s="279">
        <v>135</v>
      </c>
      <c r="B144" s="300"/>
      <c r="C144" s="889"/>
      <c r="D144" s="887"/>
      <c r="E144" s="377" t="s">
        <v>858</v>
      </c>
      <c r="F144" s="885"/>
      <c r="G144" s="885"/>
      <c r="H144" s="886"/>
      <c r="I144" s="914">
        <f>SUM(J144:Q144)</f>
        <v>1253612</v>
      </c>
      <c r="J144" s="920">
        <f>SUM(J141:J143)</f>
        <v>277000</v>
      </c>
      <c r="K144" s="920">
        <f>SUM(K141:K143)</f>
        <v>42000</v>
      </c>
      <c r="L144" s="920"/>
      <c r="M144" s="920"/>
      <c r="N144" s="920">
        <f t="shared" ref="N144" si="27">SUM(N141:N143)</f>
        <v>5000</v>
      </c>
      <c r="O144" s="920"/>
      <c r="P144" s="920">
        <f>SUM(P141:P143)</f>
        <v>117259</v>
      </c>
      <c r="Q144" s="920">
        <f>SUM(Q141:Q143)</f>
        <v>812353</v>
      </c>
      <c r="R144" s="924">
        <f>SUM(R141:R143)</f>
        <v>490081</v>
      </c>
    </row>
    <row r="145" spans="1:19" s="309" customFormat="1" ht="22.5" customHeight="1" thickTop="1" x14ac:dyDescent="0.3">
      <c r="A145" s="279">
        <v>136</v>
      </c>
      <c r="B145" s="312"/>
      <c r="C145" s="1868" t="s">
        <v>313</v>
      </c>
      <c r="D145" s="1869"/>
      <c r="E145" s="1870"/>
      <c r="F145" s="321">
        <f>SUM(F96:F140)</f>
        <v>4610419</v>
      </c>
      <c r="G145" s="321">
        <f>SUM(G96:G140)</f>
        <v>3274331</v>
      </c>
      <c r="H145" s="322">
        <f>SUM(H96:H140)</f>
        <v>4187702</v>
      </c>
      <c r="I145" s="323"/>
      <c r="J145" s="321"/>
      <c r="K145" s="321"/>
      <c r="L145" s="321"/>
      <c r="M145" s="321"/>
      <c r="N145" s="321"/>
      <c r="O145" s="321"/>
      <c r="P145" s="321"/>
      <c r="Q145" s="321"/>
      <c r="R145" s="523"/>
    </row>
    <row r="146" spans="1:19" s="310" customFormat="1" ht="18" customHeight="1" x14ac:dyDescent="0.3">
      <c r="A146" s="279">
        <v>137</v>
      </c>
      <c r="B146" s="300"/>
      <c r="C146" s="330"/>
      <c r="D146" s="331"/>
      <c r="E146" s="353" t="s">
        <v>245</v>
      </c>
      <c r="F146" s="333"/>
      <c r="G146" s="333"/>
      <c r="H146" s="334"/>
      <c r="I146" s="335">
        <f t="shared" ref="I146:R146" si="28">SUM(I97,I108,I114,I124,I132,I140)</f>
        <v>3425605</v>
      </c>
      <c r="J146" s="333">
        <f t="shared" si="28"/>
        <v>606509</v>
      </c>
      <c r="K146" s="333">
        <f t="shared" si="28"/>
        <v>10000</v>
      </c>
      <c r="L146" s="333">
        <f t="shared" si="28"/>
        <v>5000</v>
      </c>
      <c r="M146" s="333">
        <f t="shared" si="28"/>
        <v>4445</v>
      </c>
      <c r="N146" s="333">
        <f t="shared" si="28"/>
        <v>0</v>
      </c>
      <c r="O146" s="333">
        <f t="shared" si="28"/>
        <v>0</v>
      </c>
      <c r="P146" s="333">
        <f t="shared" si="28"/>
        <v>180963</v>
      </c>
      <c r="Q146" s="333">
        <f t="shared" si="28"/>
        <v>2618688</v>
      </c>
      <c r="R146" s="893">
        <f t="shared" si="28"/>
        <v>1135399</v>
      </c>
    </row>
    <row r="147" spans="1:19" s="310" customFormat="1" ht="18" customHeight="1" x14ac:dyDescent="0.3">
      <c r="A147" s="279">
        <v>138</v>
      </c>
      <c r="B147" s="890"/>
      <c r="C147" s="330"/>
      <c r="D147" s="331"/>
      <c r="E147" s="377" t="s">
        <v>810</v>
      </c>
      <c r="F147" s="333"/>
      <c r="G147" s="333"/>
      <c r="H147" s="334"/>
      <c r="I147" s="1468">
        <f t="shared" ref="I147:R147" si="29">SUM(I98,I109,I115,I125,I133,I141)</f>
        <v>3790338</v>
      </c>
      <c r="J147" s="1175">
        <f t="shared" si="29"/>
        <v>612483</v>
      </c>
      <c r="K147" s="1175">
        <f t="shared" si="29"/>
        <v>10000</v>
      </c>
      <c r="L147" s="1175">
        <f t="shared" si="29"/>
        <v>1317</v>
      </c>
      <c r="M147" s="1175">
        <f t="shared" si="29"/>
        <v>3500</v>
      </c>
      <c r="N147" s="1175">
        <f t="shared" si="29"/>
        <v>0</v>
      </c>
      <c r="O147" s="1175">
        <f t="shared" si="29"/>
        <v>5000</v>
      </c>
      <c r="P147" s="1175">
        <f t="shared" si="29"/>
        <v>483772</v>
      </c>
      <c r="Q147" s="1175">
        <f t="shared" si="29"/>
        <v>2674266</v>
      </c>
      <c r="R147" s="1473">
        <f t="shared" si="29"/>
        <v>1135399</v>
      </c>
    </row>
    <row r="148" spans="1:19" s="310" customFormat="1" ht="18" customHeight="1" x14ac:dyDescent="0.3">
      <c r="A148" s="279">
        <v>139</v>
      </c>
      <c r="B148" s="890"/>
      <c r="C148" s="301"/>
      <c r="D148" s="302"/>
      <c r="E148" s="910" t="s">
        <v>652</v>
      </c>
      <c r="F148" s="304"/>
      <c r="G148" s="304"/>
      <c r="H148" s="305"/>
      <c r="I148" s="913">
        <f>SUM(J148:Q148)</f>
        <v>255306</v>
      </c>
      <c r="J148" s="299">
        <f>J142+J134+J126+J116+J110+J99+J135+J143+J100+J117+J118+J137+J136+J101+J102+J103+J119+J111+J120+J104</f>
        <v>23153</v>
      </c>
      <c r="K148" s="299">
        <f t="shared" ref="K148:R148" si="30">K142+K134+K126+K116+K110+K99+K135+K143+K100+K117+K118+K137+K136+K101+K102+K103+K119+K111+K120+K104</f>
        <v>35894</v>
      </c>
      <c r="L148" s="299">
        <f t="shared" si="30"/>
        <v>784</v>
      </c>
      <c r="M148" s="299">
        <f t="shared" si="30"/>
        <v>0</v>
      </c>
      <c r="N148" s="299">
        <f t="shared" si="30"/>
        <v>5000</v>
      </c>
      <c r="O148" s="299">
        <f t="shared" si="30"/>
        <v>160</v>
      </c>
      <c r="P148" s="299">
        <f t="shared" si="30"/>
        <v>0</v>
      </c>
      <c r="Q148" s="299">
        <f t="shared" si="30"/>
        <v>190315</v>
      </c>
      <c r="R148" s="447">
        <f t="shared" si="30"/>
        <v>53353</v>
      </c>
    </row>
    <row r="149" spans="1:19" s="310" customFormat="1" ht="18" customHeight="1" thickBot="1" x14ac:dyDescent="0.35">
      <c r="A149" s="279">
        <v>140</v>
      </c>
      <c r="B149" s="890"/>
      <c r="C149" s="325"/>
      <c r="D149" s="326"/>
      <c r="E149" s="911" t="s">
        <v>858</v>
      </c>
      <c r="F149" s="327"/>
      <c r="G149" s="327"/>
      <c r="H149" s="328"/>
      <c r="I149" s="919">
        <f>SUM(J149:Q149)</f>
        <v>4045644</v>
      </c>
      <c r="J149" s="918">
        <f>SUM(J147:J148)</f>
        <v>635636</v>
      </c>
      <c r="K149" s="918">
        <f t="shared" ref="K149:R149" si="31">SUM(K147:K148)</f>
        <v>45894</v>
      </c>
      <c r="L149" s="918">
        <f t="shared" si="31"/>
        <v>2101</v>
      </c>
      <c r="M149" s="918">
        <f t="shared" si="31"/>
        <v>3500</v>
      </c>
      <c r="N149" s="918">
        <f t="shared" si="31"/>
        <v>5000</v>
      </c>
      <c r="O149" s="918">
        <f t="shared" si="31"/>
        <v>5160</v>
      </c>
      <c r="P149" s="918">
        <f t="shared" si="31"/>
        <v>483772</v>
      </c>
      <c r="Q149" s="918">
        <f t="shared" si="31"/>
        <v>2864581</v>
      </c>
      <c r="R149" s="923">
        <f t="shared" si="31"/>
        <v>1188752</v>
      </c>
    </row>
    <row r="150" spans="1:19" ht="22.5" customHeight="1" thickTop="1" x14ac:dyDescent="0.3">
      <c r="A150" s="279">
        <v>141</v>
      </c>
      <c r="B150" s="286">
        <v>16</v>
      </c>
      <c r="C150" s="287"/>
      <c r="D150" s="278" t="s">
        <v>220</v>
      </c>
      <c r="E150" s="278"/>
      <c r="F150" s="290">
        <v>1728283</v>
      </c>
      <c r="G150" s="290">
        <v>1824602</v>
      </c>
      <c r="H150" s="291">
        <v>2255867</v>
      </c>
      <c r="I150" s="292"/>
      <c r="J150" s="290"/>
      <c r="K150" s="290"/>
      <c r="L150" s="290"/>
      <c r="M150" s="290"/>
      <c r="N150" s="290"/>
      <c r="O150" s="290"/>
      <c r="P150" s="290"/>
      <c r="Q150" s="290"/>
      <c r="R150" s="519"/>
      <c r="S150" s="283"/>
    </row>
    <row r="151" spans="1:19" s="343" customFormat="1" ht="18" customHeight="1" x14ac:dyDescent="0.3">
      <c r="A151" s="279">
        <v>142</v>
      </c>
      <c r="B151" s="352"/>
      <c r="C151" s="330"/>
      <c r="D151" s="331"/>
      <c r="E151" s="371" t="s">
        <v>245</v>
      </c>
      <c r="F151" s="333"/>
      <c r="G151" s="333"/>
      <c r="H151" s="334"/>
      <c r="I151" s="335">
        <f>SUM(J151:Q151)</f>
        <v>1911546</v>
      </c>
      <c r="J151" s="333">
        <v>493620</v>
      </c>
      <c r="K151" s="333"/>
      <c r="L151" s="333"/>
      <c r="M151" s="333"/>
      <c r="N151" s="333"/>
      <c r="O151" s="333"/>
      <c r="P151" s="333">
        <v>307153</v>
      </c>
      <c r="Q151" s="333">
        <v>1110773</v>
      </c>
      <c r="R151" s="522">
        <v>600651</v>
      </c>
      <c r="S151" s="342"/>
    </row>
    <row r="152" spans="1:19" s="343" customFormat="1" ht="18" customHeight="1" x14ac:dyDescent="0.3">
      <c r="A152" s="279">
        <v>143</v>
      </c>
      <c r="B152" s="1472"/>
      <c r="C152" s="330"/>
      <c r="D152" s="331"/>
      <c r="E152" s="377" t="s">
        <v>810</v>
      </c>
      <c r="F152" s="333"/>
      <c r="G152" s="333"/>
      <c r="H152" s="334"/>
      <c r="I152" s="1468">
        <f>SUM(J152:Q152)</f>
        <v>2125636</v>
      </c>
      <c r="J152" s="1175">
        <v>493620</v>
      </c>
      <c r="K152" s="1175"/>
      <c r="L152" s="1175"/>
      <c r="M152" s="1175"/>
      <c r="N152" s="1175"/>
      <c r="O152" s="1175"/>
      <c r="P152" s="1175">
        <v>521243</v>
      </c>
      <c r="Q152" s="1175">
        <v>1110773</v>
      </c>
      <c r="R152" s="1471">
        <v>600651</v>
      </c>
      <c r="S152" s="342"/>
    </row>
    <row r="153" spans="1:19" s="343" customFormat="1" ht="18" customHeight="1" x14ac:dyDescent="0.3">
      <c r="A153" s="279">
        <v>144</v>
      </c>
      <c r="B153" s="895"/>
      <c r="C153" s="301"/>
      <c r="D153" s="301"/>
      <c r="E153" s="910" t="s">
        <v>893</v>
      </c>
      <c r="F153" s="304"/>
      <c r="G153" s="304"/>
      <c r="H153" s="305"/>
      <c r="I153" s="913">
        <f>SUM(J153:Q153)</f>
        <v>0</v>
      </c>
      <c r="J153" s="304"/>
      <c r="K153" s="304"/>
      <c r="L153" s="304"/>
      <c r="M153" s="304"/>
      <c r="N153" s="304"/>
      <c r="O153" s="304"/>
      <c r="P153" s="299"/>
      <c r="Q153" s="304"/>
      <c r="R153" s="447">
        <v>33296</v>
      </c>
      <c r="S153" s="342"/>
    </row>
    <row r="154" spans="1:19" s="343" customFormat="1" ht="18" customHeight="1" thickBot="1" x14ac:dyDescent="0.35">
      <c r="A154" s="279">
        <v>145</v>
      </c>
      <c r="B154" s="894"/>
      <c r="C154" s="896"/>
      <c r="D154" s="896"/>
      <c r="E154" s="377" t="s">
        <v>858</v>
      </c>
      <c r="F154" s="885"/>
      <c r="G154" s="885"/>
      <c r="H154" s="886"/>
      <c r="I154" s="914">
        <f>SUM(J154:Q154)</f>
        <v>2125636</v>
      </c>
      <c r="J154" s="920">
        <f>SUM(J152:J153)</f>
        <v>493620</v>
      </c>
      <c r="K154" s="920"/>
      <c r="L154" s="920"/>
      <c r="M154" s="920"/>
      <c r="N154" s="920"/>
      <c r="O154" s="920"/>
      <c r="P154" s="920">
        <f t="shared" ref="P154:R154" si="32">SUM(P152:P153)</f>
        <v>521243</v>
      </c>
      <c r="Q154" s="920">
        <f t="shared" si="32"/>
        <v>1110773</v>
      </c>
      <c r="R154" s="924">
        <f t="shared" si="32"/>
        <v>633947</v>
      </c>
      <c r="S154" s="342"/>
    </row>
    <row r="155" spans="1:19" s="341" customFormat="1" ht="30" customHeight="1" x14ac:dyDescent="0.3">
      <c r="A155" s="279">
        <v>146</v>
      </c>
      <c r="B155" s="1878" t="s">
        <v>120</v>
      </c>
      <c r="C155" s="1879"/>
      <c r="D155" s="1879"/>
      <c r="E155" s="1880"/>
      <c r="F155" s="344">
        <f>SUM(F150,F145,F91,F62)</f>
        <v>11476755</v>
      </c>
      <c r="G155" s="344">
        <f>SUM(G150,G145,G91,G62)</f>
        <v>10526892</v>
      </c>
      <c r="H155" s="345">
        <f>SUM(H150,H145,H91,H62)</f>
        <v>12519607</v>
      </c>
      <c r="I155" s="346"/>
      <c r="J155" s="347"/>
      <c r="K155" s="347"/>
      <c r="L155" s="347"/>
      <c r="M155" s="347"/>
      <c r="N155" s="347"/>
      <c r="O155" s="347"/>
      <c r="P155" s="347"/>
      <c r="Q155" s="347"/>
      <c r="R155" s="524"/>
      <c r="S155" s="284"/>
    </row>
    <row r="156" spans="1:19" s="343" customFormat="1" ht="18" customHeight="1" x14ac:dyDescent="0.3">
      <c r="A156" s="279">
        <v>147</v>
      </c>
      <c r="B156" s="352"/>
      <c r="C156" s="330"/>
      <c r="D156" s="331"/>
      <c r="E156" s="353" t="s">
        <v>245</v>
      </c>
      <c r="F156" s="333"/>
      <c r="G156" s="333"/>
      <c r="H156" s="334"/>
      <c r="I156" s="335">
        <f t="shared" ref="I156:R156" si="33">SUM(I151,I146,I92,I63)</f>
        <v>11340349</v>
      </c>
      <c r="J156" s="333">
        <f t="shared" si="33"/>
        <v>1232860</v>
      </c>
      <c r="K156" s="333">
        <f t="shared" si="33"/>
        <v>11945</v>
      </c>
      <c r="L156" s="333">
        <f t="shared" si="33"/>
        <v>5000</v>
      </c>
      <c r="M156" s="333">
        <f t="shared" si="33"/>
        <v>4445</v>
      </c>
      <c r="N156" s="333">
        <f t="shared" si="33"/>
        <v>0</v>
      </c>
      <c r="O156" s="333">
        <f t="shared" si="33"/>
        <v>0</v>
      </c>
      <c r="P156" s="333">
        <f t="shared" si="33"/>
        <v>694175</v>
      </c>
      <c r="Q156" s="333">
        <f t="shared" si="33"/>
        <v>9391924</v>
      </c>
      <c r="R156" s="522">
        <f t="shared" si="33"/>
        <v>5957728</v>
      </c>
      <c r="S156" s="342"/>
    </row>
    <row r="157" spans="1:19" s="343" customFormat="1" ht="18" customHeight="1" x14ac:dyDescent="0.3">
      <c r="A157" s="279">
        <v>148</v>
      </c>
      <c r="B157" s="352"/>
      <c r="C157" s="330"/>
      <c r="D157" s="331"/>
      <c r="E157" s="377" t="s">
        <v>810</v>
      </c>
      <c r="F157" s="333"/>
      <c r="G157" s="333"/>
      <c r="H157" s="334"/>
      <c r="I157" s="1468">
        <f t="shared" ref="I157:R157" si="34">SUM(I152,I147,I93,I64)</f>
        <v>12270872</v>
      </c>
      <c r="J157" s="1175">
        <f t="shared" si="34"/>
        <v>1247264</v>
      </c>
      <c r="K157" s="1175">
        <f t="shared" si="34"/>
        <v>28536</v>
      </c>
      <c r="L157" s="1175">
        <f t="shared" si="34"/>
        <v>1317</v>
      </c>
      <c r="M157" s="1175">
        <f t="shared" si="34"/>
        <v>3500</v>
      </c>
      <c r="N157" s="1175">
        <f t="shared" si="34"/>
        <v>0</v>
      </c>
      <c r="O157" s="1175">
        <f t="shared" si="34"/>
        <v>5000</v>
      </c>
      <c r="P157" s="1175">
        <f t="shared" si="34"/>
        <v>1387963</v>
      </c>
      <c r="Q157" s="1175">
        <f t="shared" si="34"/>
        <v>9597292</v>
      </c>
      <c r="R157" s="1473">
        <f t="shared" si="34"/>
        <v>6047267</v>
      </c>
      <c r="S157" s="342"/>
    </row>
    <row r="158" spans="1:19" s="343" customFormat="1" ht="18" customHeight="1" x14ac:dyDescent="0.3">
      <c r="A158" s="279">
        <v>149</v>
      </c>
      <c r="B158" s="300"/>
      <c r="C158" s="301"/>
      <c r="D158" s="302"/>
      <c r="E158" s="910" t="s">
        <v>652</v>
      </c>
      <c r="F158" s="304"/>
      <c r="G158" s="304"/>
      <c r="H158" s="305"/>
      <c r="I158" s="913">
        <f>SUM(J158:Q158)</f>
        <v>344067</v>
      </c>
      <c r="J158" s="299">
        <f t="shared" ref="J158:R158" si="35">J153+J148+J94+J65</f>
        <v>26188</v>
      </c>
      <c r="K158" s="299">
        <f t="shared" si="35"/>
        <v>49791</v>
      </c>
      <c r="L158" s="299">
        <f t="shared" si="35"/>
        <v>784</v>
      </c>
      <c r="M158" s="299">
        <f t="shared" si="35"/>
        <v>0</v>
      </c>
      <c r="N158" s="299">
        <f t="shared" si="35"/>
        <v>5000</v>
      </c>
      <c r="O158" s="299">
        <f t="shared" si="35"/>
        <v>160</v>
      </c>
      <c r="P158" s="299">
        <f t="shared" si="35"/>
        <v>0</v>
      </c>
      <c r="Q158" s="299">
        <f t="shared" si="35"/>
        <v>262144</v>
      </c>
      <c r="R158" s="447">
        <f t="shared" si="35"/>
        <v>157694</v>
      </c>
      <c r="S158" s="342"/>
    </row>
    <row r="159" spans="1:19" s="343" customFormat="1" ht="18" customHeight="1" thickBot="1" x14ac:dyDescent="0.35">
      <c r="A159" s="279">
        <v>150</v>
      </c>
      <c r="B159" s="897"/>
      <c r="C159" s="884"/>
      <c r="D159" s="1818"/>
      <c r="E159" s="377" t="s">
        <v>858</v>
      </c>
      <c r="F159" s="885"/>
      <c r="G159" s="885"/>
      <c r="H159" s="886"/>
      <c r="I159" s="914">
        <f>SUM(J159:Q159)</f>
        <v>12614939</v>
      </c>
      <c r="J159" s="920">
        <f>SUM(J157:J158)</f>
        <v>1273452</v>
      </c>
      <c r="K159" s="920">
        <f t="shared" ref="K159:R159" si="36">SUM(K157:K158)</f>
        <v>78327</v>
      </c>
      <c r="L159" s="920">
        <f t="shared" si="36"/>
        <v>2101</v>
      </c>
      <c r="M159" s="920">
        <f t="shared" si="36"/>
        <v>3500</v>
      </c>
      <c r="N159" s="920">
        <f t="shared" si="36"/>
        <v>5000</v>
      </c>
      <c r="O159" s="920">
        <f t="shared" si="36"/>
        <v>5160</v>
      </c>
      <c r="P159" s="920">
        <f t="shared" si="36"/>
        <v>1387963</v>
      </c>
      <c r="Q159" s="920">
        <f t="shared" si="36"/>
        <v>9859436</v>
      </c>
      <c r="R159" s="924">
        <f t="shared" si="36"/>
        <v>6204961</v>
      </c>
      <c r="S159" s="342"/>
    </row>
    <row r="160" spans="1:19" ht="30" customHeight="1" x14ac:dyDescent="0.3">
      <c r="A160" s="279">
        <v>151</v>
      </c>
      <c r="B160" s="348">
        <v>17</v>
      </c>
      <c r="C160" s="349"/>
      <c r="D160" s="1881" t="s">
        <v>121</v>
      </c>
      <c r="E160" s="1882"/>
      <c r="F160" s="350">
        <v>2865198</v>
      </c>
      <c r="G160" s="350">
        <v>2584822</v>
      </c>
      <c r="H160" s="351">
        <v>3446739</v>
      </c>
      <c r="I160" s="690"/>
      <c r="J160" s="691"/>
      <c r="K160" s="691"/>
      <c r="L160" s="347"/>
      <c r="M160" s="347"/>
      <c r="N160" s="347"/>
      <c r="O160" s="347"/>
      <c r="P160" s="347"/>
      <c r="Q160" s="347"/>
      <c r="R160" s="524"/>
      <c r="S160" s="283"/>
    </row>
    <row r="161" spans="1:19" s="343" customFormat="1" ht="18" customHeight="1" x14ac:dyDescent="0.3">
      <c r="A161" s="279">
        <v>152</v>
      </c>
      <c r="B161" s="300"/>
      <c r="C161" s="301"/>
      <c r="D161" s="301"/>
      <c r="E161" s="371" t="s">
        <v>245</v>
      </c>
      <c r="F161" s="304"/>
      <c r="G161" s="304"/>
      <c r="H161" s="305"/>
      <c r="I161" s="242">
        <f>SUM(J161:Q161)</f>
        <v>2856633</v>
      </c>
      <c r="J161" s="304">
        <v>8000</v>
      </c>
      <c r="K161" s="304">
        <v>3569</v>
      </c>
      <c r="L161" s="304"/>
      <c r="M161" s="304"/>
      <c r="N161" s="304"/>
      <c r="O161" s="304"/>
      <c r="P161" s="304">
        <v>166375</v>
      </c>
      <c r="Q161" s="304">
        <v>2678689</v>
      </c>
      <c r="R161" s="520">
        <v>913168</v>
      </c>
      <c r="S161" s="342"/>
    </row>
    <row r="162" spans="1:19" s="343" customFormat="1" ht="18" customHeight="1" x14ac:dyDescent="0.3">
      <c r="A162" s="279">
        <v>153</v>
      </c>
      <c r="B162" s="890"/>
      <c r="C162" s="898"/>
      <c r="D162" s="898"/>
      <c r="E162" s="377" t="s">
        <v>810</v>
      </c>
      <c r="F162" s="880"/>
      <c r="G162" s="880"/>
      <c r="H162" s="881"/>
      <c r="I162" s="914">
        <f>SUM(J162:Q162)</f>
        <v>3760175</v>
      </c>
      <c r="J162" s="915">
        <v>8000</v>
      </c>
      <c r="K162" s="915">
        <v>3569</v>
      </c>
      <c r="L162" s="915"/>
      <c r="M162" s="915"/>
      <c r="N162" s="915"/>
      <c r="O162" s="915"/>
      <c r="P162" s="915">
        <v>1026998</v>
      </c>
      <c r="Q162" s="915">
        <v>2721608</v>
      </c>
      <c r="R162" s="1464">
        <v>953422</v>
      </c>
      <c r="S162" s="342"/>
    </row>
    <row r="163" spans="1:19" s="343" customFormat="1" ht="18" customHeight="1" x14ac:dyDescent="0.3">
      <c r="A163" s="279">
        <v>154</v>
      </c>
      <c r="B163" s="890"/>
      <c r="C163" s="898"/>
      <c r="D163" s="898"/>
      <c r="E163" s="910" t="s">
        <v>1003</v>
      </c>
      <c r="F163" s="880"/>
      <c r="G163" s="880"/>
      <c r="H163" s="881"/>
      <c r="I163" s="913">
        <f>SUM(J163:Q163)</f>
        <v>4000</v>
      </c>
      <c r="J163" s="880"/>
      <c r="K163" s="880"/>
      <c r="L163" s="880"/>
      <c r="M163" s="880"/>
      <c r="N163" s="880"/>
      <c r="O163" s="880"/>
      <c r="P163" s="1314"/>
      <c r="Q163" s="1314">
        <v>4000</v>
      </c>
      <c r="R163" s="882"/>
      <c r="S163" s="342"/>
    </row>
    <row r="164" spans="1:19" s="343" customFormat="1" ht="31.5" customHeight="1" x14ac:dyDescent="0.3">
      <c r="A164" s="279">
        <v>155</v>
      </c>
      <c r="B164" s="895"/>
      <c r="C164" s="301"/>
      <c r="D164" s="301"/>
      <c r="E164" s="1325" t="s">
        <v>1115</v>
      </c>
      <c r="F164" s="304"/>
      <c r="G164" s="304"/>
      <c r="H164" s="305"/>
      <c r="I164" s="913">
        <f t="shared" ref="I164" si="37">SUM(J164:Q164)</f>
        <v>9040</v>
      </c>
      <c r="J164" s="304"/>
      <c r="K164" s="304"/>
      <c r="L164" s="304"/>
      <c r="M164" s="304"/>
      <c r="N164" s="304"/>
      <c r="O164" s="304"/>
      <c r="P164" s="299"/>
      <c r="Q164" s="1314">
        <f>8000+1040</f>
        <v>9040</v>
      </c>
      <c r="R164" s="447"/>
      <c r="S164" s="342"/>
    </row>
    <row r="165" spans="1:19" s="343" customFormat="1" ht="18" customHeight="1" thickBot="1" x14ac:dyDescent="0.35">
      <c r="A165" s="279">
        <v>156</v>
      </c>
      <c r="B165" s="894"/>
      <c r="C165" s="896"/>
      <c r="D165" s="896"/>
      <c r="E165" s="362" t="s">
        <v>858</v>
      </c>
      <c r="F165" s="885"/>
      <c r="G165" s="885"/>
      <c r="H165" s="886"/>
      <c r="I165" s="1324">
        <f>SUM(J165:Q165)</f>
        <v>3773215</v>
      </c>
      <c r="J165" s="920">
        <f>SUM(J162:J164)</f>
        <v>8000</v>
      </c>
      <c r="K165" s="920">
        <f>SUM(K162:K164)</f>
        <v>3569</v>
      </c>
      <c r="L165" s="920"/>
      <c r="M165" s="920"/>
      <c r="N165" s="920"/>
      <c r="O165" s="920"/>
      <c r="P165" s="920">
        <f>SUM(P162:P164)</f>
        <v>1026998</v>
      </c>
      <c r="Q165" s="920">
        <f>SUM(Q162:Q164)</f>
        <v>2734648</v>
      </c>
      <c r="R165" s="924">
        <f>SUM(R162:R164)</f>
        <v>953422</v>
      </c>
      <c r="S165" s="342"/>
    </row>
    <row r="166" spans="1:19" s="341" customFormat="1" ht="30" customHeight="1" x14ac:dyDescent="0.3">
      <c r="A166" s="279">
        <v>157</v>
      </c>
      <c r="B166" s="1873" t="s">
        <v>13</v>
      </c>
      <c r="C166" s="1874"/>
      <c r="D166" s="1874"/>
      <c r="E166" s="1875"/>
      <c r="F166" s="344">
        <f>SUM(F155:F161)</f>
        <v>14341953</v>
      </c>
      <c r="G166" s="344">
        <f>SUM(G155:G161)</f>
        <v>13111714</v>
      </c>
      <c r="H166" s="345">
        <f>SUM(H155:H161)</f>
        <v>15966346</v>
      </c>
      <c r="I166" s="354"/>
      <c r="J166" s="344"/>
      <c r="K166" s="344"/>
      <c r="L166" s="344"/>
      <c r="M166" s="344"/>
      <c r="N166" s="344"/>
      <c r="O166" s="344"/>
      <c r="P166" s="344"/>
      <c r="Q166" s="344"/>
      <c r="R166" s="525"/>
      <c r="S166" s="284"/>
    </row>
    <row r="167" spans="1:19" s="343" customFormat="1" ht="18" customHeight="1" x14ac:dyDescent="0.3">
      <c r="A167" s="279">
        <v>158</v>
      </c>
      <c r="B167" s="352"/>
      <c r="C167" s="330"/>
      <c r="D167" s="330"/>
      <c r="E167" s="899" t="s">
        <v>245</v>
      </c>
      <c r="F167" s="333"/>
      <c r="G167" s="333"/>
      <c r="H167" s="334"/>
      <c r="I167" s="335">
        <f t="shared" ref="I167:R167" si="38">SUM(I156,I161)</f>
        <v>14196982</v>
      </c>
      <c r="J167" s="333">
        <f t="shared" si="38"/>
        <v>1240860</v>
      </c>
      <c r="K167" s="333">
        <f t="shared" si="38"/>
        <v>15514</v>
      </c>
      <c r="L167" s="333">
        <f t="shared" si="38"/>
        <v>5000</v>
      </c>
      <c r="M167" s="333">
        <f t="shared" si="38"/>
        <v>4445</v>
      </c>
      <c r="N167" s="333">
        <f t="shared" si="38"/>
        <v>0</v>
      </c>
      <c r="O167" s="333">
        <f t="shared" si="38"/>
        <v>0</v>
      </c>
      <c r="P167" s="333">
        <f t="shared" si="38"/>
        <v>860550</v>
      </c>
      <c r="Q167" s="333">
        <f t="shared" si="38"/>
        <v>12070613</v>
      </c>
      <c r="R167" s="522">
        <f t="shared" si="38"/>
        <v>6870896</v>
      </c>
      <c r="S167" s="342"/>
    </row>
    <row r="168" spans="1:19" s="343" customFormat="1" ht="18" customHeight="1" x14ac:dyDescent="0.3">
      <c r="A168" s="279">
        <v>159</v>
      </c>
      <c r="B168" s="352"/>
      <c r="C168" s="330"/>
      <c r="D168" s="330"/>
      <c r="E168" s="377" t="s">
        <v>810</v>
      </c>
      <c r="F168" s="333"/>
      <c r="G168" s="333"/>
      <c r="H168" s="334"/>
      <c r="I168" s="1468">
        <f t="shared" ref="I168:R168" si="39">SUM(I157,I162)</f>
        <v>16031047</v>
      </c>
      <c r="J168" s="1175">
        <f t="shared" si="39"/>
        <v>1255264</v>
      </c>
      <c r="K168" s="1175">
        <f t="shared" si="39"/>
        <v>32105</v>
      </c>
      <c r="L168" s="1175">
        <f t="shared" si="39"/>
        <v>1317</v>
      </c>
      <c r="M168" s="1175">
        <f t="shared" si="39"/>
        <v>3500</v>
      </c>
      <c r="N168" s="1175">
        <f t="shared" si="39"/>
        <v>0</v>
      </c>
      <c r="O168" s="1175">
        <f t="shared" si="39"/>
        <v>5000</v>
      </c>
      <c r="P168" s="1175">
        <f t="shared" si="39"/>
        <v>2414961</v>
      </c>
      <c r="Q168" s="1175">
        <f t="shared" si="39"/>
        <v>12318900</v>
      </c>
      <c r="R168" s="1473">
        <f t="shared" si="39"/>
        <v>7000689</v>
      </c>
      <c r="S168" s="342"/>
    </row>
    <row r="169" spans="1:19" ht="18" customHeight="1" x14ac:dyDescent="0.3">
      <c r="A169" s="279">
        <v>160</v>
      </c>
      <c r="B169" s="902"/>
      <c r="C169" s="314"/>
      <c r="D169" s="314"/>
      <c r="E169" s="910" t="s">
        <v>652</v>
      </c>
      <c r="F169" s="900"/>
      <c r="G169" s="900"/>
      <c r="H169" s="901"/>
      <c r="I169" s="913">
        <f>SUM(J169:Q169)</f>
        <v>357107</v>
      </c>
      <c r="J169" s="913">
        <f>J163+J158+J164</f>
        <v>26188</v>
      </c>
      <c r="K169" s="913">
        <f t="shared" ref="K169:R169" si="40">K163+K158+K164</f>
        <v>49791</v>
      </c>
      <c r="L169" s="913">
        <f t="shared" si="40"/>
        <v>784</v>
      </c>
      <c r="M169" s="913">
        <f t="shared" si="40"/>
        <v>0</v>
      </c>
      <c r="N169" s="913">
        <f t="shared" si="40"/>
        <v>5000</v>
      </c>
      <c r="O169" s="913">
        <f t="shared" si="40"/>
        <v>160</v>
      </c>
      <c r="P169" s="913">
        <f t="shared" si="40"/>
        <v>0</v>
      </c>
      <c r="Q169" s="913">
        <f t="shared" si="40"/>
        <v>275184</v>
      </c>
      <c r="R169" s="925">
        <f t="shared" si="40"/>
        <v>157694</v>
      </c>
    </row>
    <row r="170" spans="1:19" ht="18" customHeight="1" thickBot="1" x14ac:dyDescent="0.35">
      <c r="A170" s="279">
        <v>161</v>
      </c>
      <c r="B170" s="903"/>
      <c r="C170" s="904"/>
      <c r="D170" s="904"/>
      <c r="E170" s="926" t="s">
        <v>858</v>
      </c>
      <c r="F170" s="904"/>
      <c r="G170" s="904"/>
      <c r="H170" s="905"/>
      <c r="I170" s="927">
        <f>SUM(J170:Q170)</f>
        <v>16388154</v>
      </c>
      <c r="J170" s="927">
        <f>SUM(J168:J169)</f>
        <v>1281452</v>
      </c>
      <c r="K170" s="927">
        <f t="shared" ref="K170:R170" si="41">SUM(K168:K169)</f>
        <v>81896</v>
      </c>
      <c r="L170" s="927">
        <f t="shared" si="41"/>
        <v>2101</v>
      </c>
      <c r="M170" s="927">
        <f t="shared" si="41"/>
        <v>3500</v>
      </c>
      <c r="N170" s="927">
        <f t="shared" si="41"/>
        <v>5000</v>
      </c>
      <c r="O170" s="927">
        <f t="shared" si="41"/>
        <v>5160</v>
      </c>
      <c r="P170" s="927">
        <f t="shared" si="41"/>
        <v>2414961</v>
      </c>
      <c r="Q170" s="927">
        <f t="shared" si="41"/>
        <v>12594084</v>
      </c>
      <c r="R170" s="928">
        <f t="shared" si="41"/>
        <v>7158383</v>
      </c>
    </row>
  </sheetData>
  <mergeCells count="26">
    <mergeCell ref="D67:E67"/>
    <mergeCell ref="C91:E91"/>
    <mergeCell ref="D106:E106"/>
    <mergeCell ref="B166:E166"/>
    <mergeCell ref="D129:E129"/>
    <mergeCell ref="C145:E145"/>
    <mergeCell ref="B155:E155"/>
    <mergeCell ref="D160:E160"/>
    <mergeCell ref="D130:E130"/>
    <mergeCell ref="D122:E122"/>
    <mergeCell ref="Q8:R8"/>
    <mergeCell ref="C62:E62"/>
    <mergeCell ref="B2:E2"/>
    <mergeCell ref="B4:R4"/>
    <mergeCell ref="B5:R5"/>
    <mergeCell ref="D7:E7"/>
    <mergeCell ref="B8:B9"/>
    <mergeCell ref="C8:C9"/>
    <mergeCell ref="D8:E9"/>
    <mergeCell ref="F8:F9"/>
    <mergeCell ref="G8:G9"/>
    <mergeCell ref="H8:H9"/>
    <mergeCell ref="M8:O8"/>
    <mergeCell ref="P8:P9"/>
    <mergeCell ref="I8:I9"/>
    <mergeCell ref="J8:L8"/>
  </mergeCells>
  <printOptions horizontalCentered="1"/>
  <pageMargins left="0.19685039370078741" right="0.19685039370078741" top="0.59055118110236227" bottom="0.59055118110236227" header="0.51181102362204722" footer="0.31496062992125984"/>
  <pageSetup paperSize="9" scale="64" fitToHeight="0" orientation="landscape" verticalDpi="300" r:id="rId1"/>
  <headerFooter alignWithMargins="0">
    <oddFooter>&amp;C- &amp;P -</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AE249"/>
  <sheetViews>
    <sheetView view="pageBreakPreview" topLeftCell="C221" zoomScaleNormal="100" zoomScaleSheetLayoutView="100" workbookViewId="0">
      <selection activeCell="A6" sqref="A6:R248"/>
    </sheetView>
  </sheetViews>
  <sheetFormatPr defaultColWidth="9.28515625" defaultRowHeight="15" x14ac:dyDescent="0.3"/>
  <cols>
    <col min="1" max="1" width="3.7109375" style="279" customWidth="1"/>
    <col min="2" max="2" width="5.5703125" style="358" customWidth="1"/>
    <col min="3" max="3" width="5.7109375" style="358" customWidth="1"/>
    <col min="4" max="4" width="4.7109375" style="358" customWidth="1"/>
    <col min="5" max="5" width="60.7109375" style="87" customWidth="1"/>
    <col min="6" max="6" width="6.7109375" style="132" customWidth="1"/>
    <col min="7" max="7" width="10.7109375" style="203" customWidth="1"/>
    <col min="8" max="9" width="12.28515625" style="203" customWidth="1"/>
    <col min="10" max="10" width="13.7109375" style="359" customWidth="1"/>
    <col min="11" max="18" width="14.7109375" style="203" customWidth="1"/>
    <col min="19" max="19" width="9.5703125" style="203" bestFit="1" customWidth="1"/>
    <col min="20" max="31" width="9.28515625" style="203"/>
    <col min="32" max="16384" width="9.28515625" style="87"/>
  </cols>
  <sheetData>
    <row r="1" spans="1:31" ht="18" customHeight="1" x14ac:dyDescent="0.3">
      <c r="B1" s="19" t="s">
        <v>867</v>
      </c>
      <c r="C1" s="19"/>
      <c r="D1" s="19"/>
      <c r="E1" s="19"/>
      <c r="F1" s="19"/>
      <c r="G1" s="19"/>
      <c r="H1" s="19"/>
      <c r="I1" s="19"/>
      <c r="J1" s="19"/>
    </row>
    <row r="2" spans="1:31" s="136" customFormat="1" ht="18" customHeight="1" x14ac:dyDescent="0.2">
      <c r="A2" s="279"/>
      <c r="B2" s="1847" t="s">
        <v>796</v>
      </c>
      <c r="C2" s="1847"/>
      <c r="D2" s="1847"/>
      <c r="E2" s="1847"/>
      <c r="F2" s="1847"/>
      <c r="G2" s="1847"/>
      <c r="H2" s="356"/>
      <c r="I2" s="356"/>
      <c r="J2" s="357"/>
      <c r="K2" s="356"/>
      <c r="L2" s="356"/>
      <c r="M2" s="356"/>
      <c r="N2" s="356"/>
      <c r="O2" s="356"/>
      <c r="P2" s="356"/>
      <c r="Q2" s="356"/>
      <c r="R2" s="356"/>
      <c r="S2" s="356"/>
      <c r="T2" s="356"/>
      <c r="U2" s="356"/>
      <c r="V2" s="356"/>
      <c r="W2" s="356"/>
      <c r="X2" s="356"/>
      <c r="Y2" s="356"/>
      <c r="Z2" s="356"/>
      <c r="AA2" s="356"/>
      <c r="AB2" s="356"/>
      <c r="AC2" s="356"/>
      <c r="AD2" s="356"/>
      <c r="AE2" s="356"/>
    </row>
    <row r="3" spans="1:31" s="136" customFormat="1" ht="18" customHeight="1" x14ac:dyDescent="0.2">
      <c r="A3" s="279"/>
      <c r="B3" s="866"/>
      <c r="C3" s="866"/>
      <c r="D3" s="866"/>
      <c r="E3" s="866"/>
      <c r="F3" s="866"/>
      <c r="G3" s="866"/>
      <c r="H3" s="356"/>
      <c r="I3" s="356"/>
      <c r="J3" s="357"/>
      <c r="K3" s="356"/>
      <c r="L3" s="356"/>
      <c r="M3" s="356"/>
      <c r="N3" s="356"/>
      <c r="O3" s="356"/>
      <c r="P3" s="356"/>
      <c r="Q3" s="356"/>
      <c r="R3" s="356"/>
      <c r="S3" s="356"/>
      <c r="T3" s="356"/>
      <c r="U3" s="356"/>
      <c r="V3" s="356"/>
      <c r="W3" s="356"/>
      <c r="X3" s="356"/>
      <c r="Y3" s="356"/>
      <c r="Z3" s="356"/>
      <c r="AA3" s="356"/>
      <c r="AB3" s="356"/>
      <c r="AC3" s="356"/>
      <c r="AD3" s="356"/>
      <c r="AE3" s="356"/>
    </row>
    <row r="4" spans="1:31" s="136" customFormat="1" ht="24.75" customHeight="1" x14ac:dyDescent="0.2">
      <c r="A4" s="279"/>
      <c r="B4" s="1848" t="s">
        <v>107</v>
      </c>
      <c r="C4" s="1848"/>
      <c r="D4" s="1848"/>
      <c r="E4" s="1848"/>
      <c r="F4" s="1848"/>
      <c r="G4" s="1848"/>
      <c r="H4" s="1848"/>
      <c r="I4" s="1848"/>
      <c r="J4" s="1848"/>
      <c r="K4" s="1848"/>
      <c r="L4" s="1848"/>
      <c r="M4" s="1848"/>
      <c r="N4" s="1848"/>
      <c r="O4" s="1848"/>
      <c r="P4" s="1848"/>
      <c r="Q4" s="1848"/>
      <c r="R4" s="1848"/>
      <c r="S4" s="356"/>
      <c r="T4" s="356"/>
      <c r="U4" s="356"/>
      <c r="V4" s="356"/>
      <c r="W4" s="356"/>
      <c r="X4" s="356"/>
      <c r="Y4" s="356"/>
      <c r="Z4" s="356"/>
      <c r="AA4" s="356"/>
      <c r="AB4" s="356"/>
      <c r="AC4" s="356"/>
      <c r="AD4" s="356"/>
      <c r="AE4" s="356"/>
    </row>
    <row r="5" spans="1:31" s="136" customFormat="1" ht="24.75" customHeight="1" x14ac:dyDescent="0.2">
      <c r="A5" s="279"/>
      <c r="B5" s="1848" t="s">
        <v>582</v>
      </c>
      <c r="C5" s="1848"/>
      <c r="D5" s="1848"/>
      <c r="E5" s="1848"/>
      <c r="F5" s="1848"/>
      <c r="G5" s="1848"/>
      <c r="H5" s="1848"/>
      <c r="I5" s="1848"/>
      <c r="J5" s="1848"/>
      <c r="K5" s="1848"/>
      <c r="L5" s="1848"/>
      <c r="M5" s="1848"/>
      <c r="N5" s="1848"/>
      <c r="O5" s="1848"/>
      <c r="P5" s="1848"/>
      <c r="Q5" s="1848"/>
      <c r="R5" s="1848"/>
      <c r="S5" s="356"/>
      <c r="T5" s="356"/>
      <c r="U5" s="356"/>
      <c r="V5" s="356"/>
      <c r="W5" s="356"/>
      <c r="X5" s="356"/>
      <c r="Y5" s="356"/>
      <c r="Z5" s="356"/>
      <c r="AA5" s="356"/>
      <c r="AB5" s="356"/>
      <c r="AC5" s="356"/>
      <c r="AD5" s="356"/>
      <c r="AE5" s="356"/>
    </row>
    <row r="6" spans="1:31" ht="18" customHeight="1" x14ac:dyDescent="0.3">
      <c r="Q6" s="1912" t="s">
        <v>0</v>
      </c>
      <c r="R6" s="1912"/>
    </row>
    <row r="7" spans="1:31" s="279" customFormat="1" ht="18" customHeight="1" thickBot="1" x14ac:dyDescent="0.25">
      <c r="B7" s="279" t="s">
        <v>1</v>
      </c>
      <c r="C7" s="279" t="s">
        <v>3</v>
      </c>
      <c r="D7" s="1849" t="s">
        <v>2</v>
      </c>
      <c r="E7" s="1849"/>
      <c r="F7" s="279" t="s">
        <v>4</v>
      </c>
      <c r="G7" s="279" t="s">
        <v>5</v>
      </c>
      <c r="H7" s="279" t="s">
        <v>15</v>
      </c>
      <c r="I7" s="279" t="s">
        <v>16</v>
      </c>
      <c r="J7" s="279" t="s">
        <v>17</v>
      </c>
      <c r="K7" s="279" t="s">
        <v>32</v>
      </c>
      <c r="L7" s="279" t="s">
        <v>28</v>
      </c>
      <c r="M7" s="279" t="s">
        <v>23</v>
      </c>
      <c r="N7" s="279" t="s">
        <v>33</v>
      </c>
      <c r="O7" s="279" t="s">
        <v>34</v>
      </c>
      <c r="P7" s="279" t="s">
        <v>122</v>
      </c>
      <c r="Q7" s="279" t="s">
        <v>123</v>
      </c>
      <c r="R7" s="279" t="s">
        <v>124</v>
      </c>
    </row>
    <row r="8" spans="1:31" s="132" customFormat="1" ht="30" customHeight="1" x14ac:dyDescent="0.3">
      <c r="A8" s="279"/>
      <c r="B8" s="1850" t="s">
        <v>18</v>
      </c>
      <c r="C8" s="1913" t="s">
        <v>19</v>
      </c>
      <c r="D8" s="1854" t="s">
        <v>6</v>
      </c>
      <c r="E8" s="1915"/>
      <c r="F8" s="1917" t="s">
        <v>20</v>
      </c>
      <c r="G8" s="1858" t="s">
        <v>404</v>
      </c>
      <c r="H8" s="1858" t="s">
        <v>500</v>
      </c>
      <c r="I8" s="1860" t="s">
        <v>710</v>
      </c>
      <c r="J8" s="1900" t="s">
        <v>593</v>
      </c>
      <c r="K8" s="1902" t="s">
        <v>35</v>
      </c>
      <c r="L8" s="1903"/>
      <c r="M8" s="1903"/>
      <c r="N8" s="1903"/>
      <c r="O8" s="1904"/>
      <c r="P8" s="1909" t="s">
        <v>125</v>
      </c>
      <c r="Q8" s="1909"/>
      <c r="R8" s="1909"/>
    </row>
    <row r="9" spans="1:31" s="132" customFormat="1" ht="60.75" customHeight="1" thickBot="1" x14ac:dyDescent="0.35">
      <c r="A9" s="279"/>
      <c r="B9" s="1851"/>
      <c r="C9" s="1914"/>
      <c r="D9" s="1856"/>
      <c r="E9" s="1916"/>
      <c r="F9" s="1918"/>
      <c r="G9" s="1859"/>
      <c r="H9" s="1859"/>
      <c r="I9" s="1861"/>
      <c r="J9" s="1901"/>
      <c r="K9" s="526" t="s">
        <v>36</v>
      </c>
      <c r="L9" s="526" t="s">
        <v>37</v>
      </c>
      <c r="M9" s="526" t="s">
        <v>38</v>
      </c>
      <c r="N9" s="526" t="s">
        <v>179</v>
      </c>
      <c r="O9" s="526" t="s">
        <v>39</v>
      </c>
      <c r="P9" s="360" t="s">
        <v>186</v>
      </c>
      <c r="Q9" s="526" t="s">
        <v>187</v>
      </c>
      <c r="R9" s="526" t="s">
        <v>126</v>
      </c>
    </row>
    <row r="10" spans="1:31" ht="22.5" customHeight="1" x14ac:dyDescent="0.3">
      <c r="A10" s="279">
        <v>1</v>
      </c>
      <c r="B10" s="286">
        <v>1</v>
      </c>
      <c r="C10" s="361"/>
      <c r="D10" s="362" t="s">
        <v>248</v>
      </c>
      <c r="E10" s="362"/>
      <c r="F10" s="363" t="s">
        <v>23</v>
      </c>
      <c r="G10" s="290">
        <v>309916</v>
      </c>
      <c r="H10" s="290">
        <v>373089</v>
      </c>
      <c r="I10" s="1329">
        <v>378796</v>
      </c>
      <c r="J10" s="364"/>
      <c r="K10" s="290"/>
      <c r="L10" s="290"/>
      <c r="M10" s="290"/>
      <c r="N10" s="290"/>
      <c r="O10" s="290"/>
      <c r="P10" s="290"/>
      <c r="Q10" s="290"/>
      <c r="R10" s="365"/>
    </row>
    <row r="11" spans="1:31" ht="18" customHeight="1" x14ac:dyDescent="0.3">
      <c r="A11" s="279">
        <v>2</v>
      </c>
      <c r="B11" s="293"/>
      <c r="C11" s="366"/>
      <c r="D11" s="367" t="s">
        <v>252</v>
      </c>
      <c r="E11" s="367"/>
      <c r="F11" s="296"/>
      <c r="G11" s="296"/>
      <c r="H11" s="296"/>
      <c r="I11" s="1330"/>
      <c r="J11" s="368"/>
      <c r="K11" s="296"/>
      <c r="L11" s="296"/>
      <c r="M11" s="296"/>
      <c r="N11" s="296"/>
      <c r="O11" s="296"/>
      <c r="P11" s="296"/>
      <c r="Q11" s="296"/>
      <c r="R11" s="369"/>
    </row>
    <row r="12" spans="1:31" s="306" customFormat="1" ht="18" customHeight="1" x14ac:dyDescent="0.3">
      <c r="A12" s="279">
        <v>3</v>
      </c>
      <c r="B12" s="300"/>
      <c r="C12" s="370"/>
      <c r="D12" s="370"/>
      <c r="E12" s="371" t="s">
        <v>245</v>
      </c>
      <c r="F12" s="372"/>
      <c r="G12" s="372"/>
      <c r="H12" s="372"/>
      <c r="I12" s="1331"/>
      <c r="J12" s="373">
        <f t="shared" ref="J12:J17" si="0">SUM(K12:R12)</f>
        <v>414088</v>
      </c>
      <c r="K12" s="374">
        <v>279465</v>
      </c>
      <c r="L12" s="374">
        <v>42189</v>
      </c>
      <c r="M12" s="374">
        <v>92434</v>
      </c>
      <c r="N12" s="374"/>
      <c r="O12" s="374"/>
      <c r="P12" s="374"/>
      <c r="Q12" s="374"/>
      <c r="R12" s="375"/>
      <c r="S12" s="376"/>
      <c r="T12" s="376"/>
      <c r="U12" s="376"/>
      <c r="V12" s="376"/>
      <c r="W12" s="376"/>
      <c r="X12" s="376"/>
      <c r="Y12" s="376"/>
      <c r="Z12" s="376"/>
      <c r="AA12" s="376"/>
      <c r="AB12" s="376"/>
      <c r="AC12" s="376"/>
      <c r="AD12" s="376"/>
      <c r="AE12" s="376"/>
    </row>
    <row r="13" spans="1:31" s="306" customFormat="1" ht="18" customHeight="1" x14ac:dyDescent="0.3">
      <c r="A13" s="279">
        <v>4</v>
      </c>
      <c r="B13" s="300"/>
      <c r="C13" s="370"/>
      <c r="D13" s="370"/>
      <c r="E13" s="377" t="s">
        <v>810</v>
      </c>
      <c r="F13" s="372"/>
      <c r="G13" s="372"/>
      <c r="H13" s="372"/>
      <c r="I13" s="1331"/>
      <c r="J13" s="368">
        <f t="shared" si="0"/>
        <v>430628</v>
      </c>
      <c r="K13" s="1034">
        <v>280965</v>
      </c>
      <c r="L13" s="1034">
        <v>44189</v>
      </c>
      <c r="M13" s="1034">
        <v>102063</v>
      </c>
      <c r="N13" s="1034"/>
      <c r="O13" s="1034"/>
      <c r="P13" s="1034">
        <v>3411</v>
      </c>
      <c r="Q13" s="374"/>
      <c r="R13" s="375"/>
      <c r="S13" s="376"/>
      <c r="T13" s="376"/>
      <c r="U13" s="376"/>
      <c r="V13" s="376"/>
      <c r="W13" s="376"/>
      <c r="X13" s="376"/>
      <c r="Y13" s="376"/>
      <c r="Z13" s="376"/>
      <c r="AA13" s="376"/>
      <c r="AB13" s="376"/>
      <c r="AC13" s="376"/>
      <c r="AD13" s="376"/>
      <c r="AE13" s="376"/>
    </row>
    <row r="14" spans="1:31" s="306" customFormat="1" ht="18" customHeight="1" x14ac:dyDescent="0.3">
      <c r="A14" s="279">
        <v>5</v>
      </c>
      <c r="B14" s="300"/>
      <c r="C14" s="370"/>
      <c r="D14" s="370"/>
      <c r="E14" s="910" t="s">
        <v>890</v>
      </c>
      <c r="F14" s="372"/>
      <c r="G14" s="372"/>
      <c r="H14" s="372"/>
      <c r="I14" s="1331"/>
      <c r="J14" s="1033">
        <f t="shared" si="0"/>
        <v>1411</v>
      </c>
      <c r="K14" s="405">
        <v>1249</v>
      </c>
      <c r="L14" s="405">
        <v>162</v>
      </c>
      <c r="M14" s="405"/>
      <c r="N14" s="374"/>
      <c r="O14" s="374"/>
      <c r="P14" s="405"/>
      <c r="Q14" s="374"/>
      <c r="R14" s="375"/>
      <c r="S14" s="376"/>
      <c r="T14" s="376"/>
      <c r="U14" s="376"/>
      <c r="V14" s="376"/>
      <c r="W14" s="376"/>
      <c r="X14" s="376"/>
      <c r="Y14" s="376"/>
      <c r="Z14" s="376"/>
      <c r="AA14" s="376"/>
      <c r="AB14" s="376"/>
      <c r="AC14" s="376"/>
      <c r="AD14" s="376"/>
      <c r="AE14" s="376"/>
    </row>
    <row r="15" spans="1:31" s="306" customFormat="1" ht="18" customHeight="1" x14ac:dyDescent="0.3">
      <c r="A15" s="279">
        <v>6</v>
      </c>
      <c r="B15" s="300"/>
      <c r="C15" s="370"/>
      <c r="D15" s="370"/>
      <c r="E15" s="910" t="s">
        <v>908</v>
      </c>
      <c r="F15" s="372"/>
      <c r="G15" s="372"/>
      <c r="H15" s="372"/>
      <c r="I15" s="1331"/>
      <c r="J15" s="1033">
        <f t="shared" si="0"/>
        <v>3501</v>
      </c>
      <c r="K15" s="405">
        <v>3098</v>
      </c>
      <c r="L15" s="405">
        <v>403</v>
      </c>
      <c r="M15" s="405"/>
      <c r="N15" s="374"/>
      <c r="O15" s="374"/>
      <c r="P15" s="405"/>
      <c r="Q15" s="374"/>
      <c r="R15" s="375"/>
      <c r="S15" s="376"/>
      <c r="T15" s="376"/>
      <c r="U15" s="376"/>
      <c r="V15" s="376"/>
      <c r="W15" s="376"/>
      <c r="X15" s="376"/>
      <c r="Y15" s="376"/>
      <c r="Z15" s="376"/>
      <c r="AA15" s="376"/>
      <c r="AB15" s="376"/>
      <c r="AC15" s="376"/>
      <c r="AD15" s="376"/>
      <c r="AE15" s="376"/>
    </row>
    <row r="16" spans="1:31" s="306" customFormat="1" ht="18" customHeight="1" x14ac:dyDescent="0.3">
      <c r="A16" s="279">
        <v>7</v>
      </c>
      <c r="B16" s="300"/>
      <c r="C16" s="370"/>
      <c r="D16" s="370"/>
      <c r="E16" s="910" t="s">
        <v>917</v>
      </c>
      <c r="F16" s="372"/>
      <c r="G16" s="372"/>
      <c r="H16" s="372"/>
      <c r="I16" s="1331"/>
      <c r="J16" s="1033">
        <f t="shared" si="0"/>
        <v>0</v>
      </c>
      <c r="K16" s="405"/>
      <c r="L16" s="405"/>
      <c r="M16" s="405">
        <v>-1000</v>
      </c>
      <c r="N16" s="374"/>
      <c r="O16" s="374"/>
      <c r="P16" s="405">
        <v>1000</v>
      </c>
      <c r="Q16" s="374"/>
      <c r="R16" s="375"/>
      <c r="S16" s="376"/>
      <c r="T16" s="376"/>
      <c r="U16" s="376"/>
      <c r="V16" s="376"/>
      <c r="W16" s="376"/>
      <c r="X16" s="376"/>
      <c r="Y16" s="376"/>
      <c r="Z16" s="376"/>
      <c r="AA16" s="376"/>
      <c r="AB16" s="376"/>
      <c r="AC16" s="376"/>
      <c r="AD16" s="376"/>
      <c r="AE16" s="376"/>
    </row>
    <row r="17" spans="1:31" s="306" customFormat="1" ht="18" customHeight="1" x14ac:dyDescent="0.3">
      <c r="A17" s="279">
        <v>8</v>
      </c>
      <c r="B17" s="300"/>
      <c r="C17" s="370"/>
      <c r="D17" s="370"/>
      <c r="E17" s="377" t="s">
        <v>858</v>
      </c>
      <c r="F17" s="372"/>
      <c r="G17" s="372"/>
      <c r="H17" s="372"/>
      <c r="I17" s="1331"/>
      <c r="J17" s="368">
        <f t="shared" si="0"/>
        <v>435540</v>
      </c>
      <c r="K17" s="1034">
        <f>SUM(K13:K16)</f>
        <v>285312</v>
      </c>
      <c r="L17" s="1034">
        <f t="shared" ref="L17:P17" si="1">SUM(L13:L16)</f>
        <v>44754</v>
      </c>
      <c r="M17" s="1034">
        <f t="shared" si="1"/>
        <v>101063</v>
      </c>
      <c r="N17" s="1034"/>
      <c r="O17" s="1034"/>
      <c r="P17" s="1034">
        <f t="shared" si="1"/>
        <v>4411</v>
      </c>
      <c r="Q17" s="374"/>
      <c r="R17" s="375"/>
      <c r="S17" s="376"/>
      <c r="T17" s="376"/>
      <c r="U17" s="376"/>
      <c r="V17" s="376"/>
      <c r="W17" s="376"/>
      <c r="X17" s="376"/>
      <c r="Y17" s="376"/>
      <c r="Z17" s="376"/>
      <c r="AA17" s="376"/>
      <c r="AB17" s="376"/>
      <c r="AC17" s="376"/>
      <c r="AD17" s="376"/>
      <c r="AE17" s="376"/>
    </row>
    <row r="18" spans="1:31" s="337" customFormat="1" ht="22.5" customHeight="1" x14ac:dyDescent="0.3">
      <c r="A18" s="279">
        <v>9</v>
      </c>
      <c r="B18" s="293">
        <v>2</v>
      </c>
      <c r="C18" s="366"/>
      <c r="D18" s="377" t="s">
        <v>247</v>
      </c>
      <c r="E18" s="377"/>
      <c r="F18" s="378" t="s">
        <v>23</v>
      </c>
      <c r="G18" s="296">
        <v>507890</v>
      </c>
      <c r="H18" s="296">
        <v>612920</v>
      </c>
      <c r="I18" s="1330">
        <v>600462</v>
      </c>
      <c r="J18" s="368"/>
      <c r="K18" s="296"/>
      <c r="L18" s="296"/>
      <c r="M18" s="296"/>
      <c r="N18" s="296"/>
      <c r="O18" s="296"/>
      <c r="P18" s="296"/>
      <c r="Q18" s="296"/>
      <c r="R18" s="369"/>
      <c r="S18" s="379"/>
      <c r="T18" s="379"/>
      <c r="U18" s="379"/>
      <c r="V18" s="379"/>
      <c r="W18" s="379"/>
      <c r="X18" s="379"/>
      <c r="Y18" s="379"/>
      <c r="Z18" s="379"/>
      <c r="AA18" s="379"/>
      <c r="AB18" s="379"/>
      <c r="AC18" s="379"/>
      <c r="AD18" s="379"/>
      <c r="AE18" s="379"/>
    </row>
    <row r="19" spans="1:31" ht="18" customHeight="1" x14ac:dyDescent="0.3">
      <c r="A19" s="279">
        <v>10</v>
      </c>
      <c r="B19" s="293"/>
      <c r="C19" s="366"/>
      <c r="D19" s="367" t="s">
        <v>246</v>
      </c>
      <c r="E19" s="367"/>
      <c r="F19" s="296"/>
      <c r="G19" s="296"/>
      <c r="H19" s="296"/>
      <c r="I19" s="1330"/>
      <c r="J19" s="368"/>
      <c r="K19" s="296"/>
      <c r="L19" s="296"/>
      <c r="M19" s="296"/>
      <c r="N19" s="296"/>
      <c r="O19" s="296"/>
      <c r="P19" s="296"/>
      <c r="Q19" s="296"/>
      <c r="R19" s="369"/>
    </row>
    <row r="20" spans="1:31" s="318" customFormat="1" ht="18" customHeight="1" x14ac:dyDescent="0.3">
      <c r="A20" s="279">
        <v>11</v>
      </c>
      <c r="B20" s="300"/>
      <c r="C20" s="370"/>
      <c r="D20" s="370"/>
      <c r="E20" s="371" t="s">
        <v>245</v>
      </c>
      <c r="F20" s="372"/>
      <c r="G20" s="372"/>
      <c r="H20" s="372"/>
      <c r="I20" s="1331"/>
      <c r="J20" s="373">
        <f t="shared" ref="J20:J23" si="2">SUM(K20:R20)</f>
        <v>652476</v>
      </c>
      <c r="K20" s="374">
        <v>449320</v>
      </c>
      <c r="L20" s="374">
        <v>71508</v>
      </c>
      <c r="M20" s="374">
        <v>131648</v>
      </c>
      <c r="N20" s="374"/>
      <c r="O20" s="374"/>
      <c r="P20" s="374"/>
      <c r="Q20" s="374"/>
      <c r="R20" s="375"/>
      <c r="S20" s="380"/>
      <c r="T20" s="380"/>
      <c r="U20" s="380"/>
      <c r="V20" s="380"/>
      <c r="W20" s="380"/>
      <c r="X20" s="380"/>
      <c r="Y20" s="380"/>
      <c r="Z20" s="380"/>
      <c r="AA20" s="380"/>
      <c r="AB20" s="380"/>
      <c r="AC20" s="380"/>
      <c r="AD20" s="380"/>
      <c r="AE20" s="380"/>
    </row>
    <row r="21" spans="1:31" s="318" customFormat="1" ht="18" customHeight="1" x14ac:dyDescent="0.3">
      <c r="A21" s="279">
        <v>12</v>
      </c>
      <c r="B21" s="300"/>
      <c r="C21" s="370"/>
      <c r="D21" s="370"/>
      <c r="E21" s="377" t="s">
        <v>810</v>
      </c>
      <c r="F21" s="372"/>
      <c r="G21" s="372"/>
      <c r="H21" s="372"/>
      <c r="I21" s="1331"/>
      <c r="J21" s="368">
        <f t="shared" si="2"/>
        <v>684470</v>
      </c>
      <c r="K21" s="1034">
        <v>462658</v>
      </c>
      <c r="L21" s="1034">
        <v>74394</v>
      </c>
      <c r="M21" s="1034">
        <v>139341</v>
      </c>
      <c r="N21" s="1034"/>
      <c r="O21" s="1034"/>
      <c r="P21" s="1034">
        <v>8077</v>
      </c>
      <c r="Q21" s="374"/>
      <c r="R21" s="375"/>
      <c r="S21" s="380"/>
      <c r="T21" s="380"/>
      <c r="U21" s="380"/>
      <c r="V21" s="380"/>
      <c r="W21" s="380"/>
      <c r="X21" s="380"/>
      <c r="Y21" s="380"/>
      <c r="Z21" s="380"/>
      <c r="AA21" s="380"/>
      <c r="AB21" s="380"/>
      <c r="AC21" s="380"/>
      <c r="AD21" s="380"/>
      <c r="AE21" s="380"/>
    </row>
    <row r="22" spans="1:31" s="318" customFormat="1" ht="18" customHeight="1" x14ac:dyDescent="0.3">
      <c r="A22" s="279">
        <v>13</v>
      </c>
      <c r="B22" s="300"/>
      <c r="C22" s="370"/>
      <c r="D22" s="370"/>
      <c r="E22" s="910" t="s">
        <v>890</v>
      </c>
      <c r="F22" s="372"/>
      <c r="G22" s="372"/>
      <c r="H22" s="372"/>
      <c r="I22" s="1331"/>
      <c r="J22" s="1033">
        <f t="shared" si="2"/>
        <v>2154</v>
      </c>
      <c r="K22" s="405">
        <v>1906</v>
      </c>
      <c r="L22" s="405">
        <v>248</v>
      </c>
      <c r="M22" s="405"/>
      <c r="N22" s="405"/>
      <c r="O22" s="405"/>
      <c r="P22" s="405"/>
      <c r="Q22" s="374"/>
      <c r="R22" s="375"/>
      <c r="S22" s="380"/>
      <c r="T22" s="380"/>
      <c r="U22" s="380"/>
      <c r="V22" s="380"/>
      <c r="W22" s="380"/>
      <c r="X22" s="380"/>
      <c r="Y22" s="380"/>
      <c r="Z22" s="380"/>
      <c r="AA22" s="380"/>
      <c r="AB22" s="380"/>
      <c r="AC22" s="380"/>
      <c r="AD22" s="380"/>
      <c r="AE22" s="380"/>
    </row>
    <row r="23" spans="1:31" s="318" customFormat="1" ht="18" customHeight="1" x14ac:dyDescent="0.3">
      <c r="A23" s="279">
        <v>14</v>
      </c>
      <c r="B23" s="300"/>
      <c r="C23" s="370"/>
      <c r="D23" s="370"/>
      <c r="E23" s="377" t="s">
        <v>858</v>
      </c>
      <c r="F23" s="372"/>
      <c r="G23" s="372"/>
      <c r="H23" s="372"/>
      <c r="I23" s="1331"/>
      <c r="J23" s="368">
        <f t="shared" si="2"/>
        <v>686624</v>
      </c>
      <c r="K23" s="1034">
        <f>SUM(K21:K22)</f>
        <v>464564</v>
      </c>
      <c r="L23" s="1034">
        <f>SUM(L21:L22)</f>
        <v>74642</v>
      </c>
      <c r="M23" s="1034">
        <f>SUM(M21:M22)</f>
        <v>139341</v>
      </c>
      <c r="N23" s="1034"/>
      <c r="O23" s="1034"/>
      <c r="P23" s="1034">
        <f>SUM(P21:P22)</f>
        <v>8077</v>
      </c>
      <c r="Q23" s="374"/>
      <c r="R23" s="375"/>
      <c r="S23" s="380"/>
      <c r="T23" s="380"/>
      <c r="U23" s="380"/>
      <c r="V23" s="380"/>
      <c r="W23" s="380"/>
      <c r="X23" s="380"/>
      <c r="Y23" s="380"/>
      <c r="Z23" s="380"/>
      <c r="AA23" s="380"/>
      <c r="AB23" s="380"/>
      <c r="AC23" s="380"/>
      <c r="AD23" s="380"/>
      <c r="AE23" s="380"/>
    </row>
    <row r="24" spans="1:31" ht="22.5" customHeight="1" x14ac:dyDescent="0.3">
      <c r="A24" s="279">
        <v>15</v>
      </c>
      <c r="B24" s="293">
        <v>3</v>
      </c>
      <c r="C24" s="366"/>
      <c r="D24" s="377" t="s">
        <v>216</v>
      </c>
      <c r="E24" s="377"/>
      <c r="F24" s="378" t="s">
        <v>23</v>
      </c>
      <c r="G24" s="296">
        <v>507514</v>
      </c>
      <c r="H24" s="296">
        <v>616909</v>
      </c>
      <c r="I24" s="1330">
        <v>604048</v>
      </c>
      <c r="J24" s="368"/>
      <c r="K24" s="296"/>
      <c r="L24" s="296"/>
      <c r="M24" s="296"/>
      <c r="N24" s="296"/>
      <c r="O24" s="296"/>
      <c r="P24" s="296"/>
      <c r="Q24" s="296"/>
      <c r="R24" s="369"/>
    </row>
    <row r="25" spans="1:31" s="283" customFormat="1" ht="18" customHeight="1" x14ac:dyDescent="0.3">
      <c r="A25" s="279">
        <v>16</v>
      </c>
      <c r="B25" s="293"/>
      <c r="C25" s="366"/>
      <c r="D25" s="367" t="s">
        <v>115</v>
      </c>
      <c r="E25" s="367"/>
      <c r="F25" s="296"/>
      <c r="G25" s="296"/>
      <c r="H25" s="296"/>
      <c r="I25" s="1330"/>
      <c r="J25" s="368"/>
      <c r="K25" s="296"/>
      <c r="L25" s="296"/>
      <c r="M25" s="296"/>
      <c r="N25" s="296"/>
      <c r="O25" s="296"/>
      <c r="P25" s="296"/>
      <c r="Q25" s="296"/>
      <c r="R25" s="369"/>
      <c r="S25" s="381"/>
      <c r="T25" s="381"/>
      <c r="U25" s="381"/>
      <c r="V25" s="381"/>
      <c r="W25" s="381"/>
      <c r="X25" s="381"/>
      <c r="Y25" s="381"/>
      <c r="Z25" s="381"/>
      <c r="AA25" s="381"/>
      <c r="AB25" s="381"/>
      <c r="AC25" s="381"/>
      <c r="AD25" s="381"/>
      <c r="AE25" s="381"/>
    </row>
    <row r="26" spans="1:31" s="306" customFormat="1" ht="18" customHeight="1" x14ac:dyDescent="0.3">
      <c r="A26" s="279">
        <v>17</v>
      </c>
      <c r="B26" s="300"/>
      <c r="C26" s="370"/>
      <c r="D26" s="370"/>
      <c r="E26" s="371" t="s">
        <v>245</v>
      </c>
      <c r="F26" s="372"/>
      <c r="G26" s="372"/>
      <c r="H26" s="372"/>
      <c r="I26" s="1331"/>
      <c r="J26" s="373">
        <f t="shared" ref="J26:J32" si="3">SUM(K26:R26)</f>
        <v>701980</v>
      </c>
      <c r="K26" s="374">
        <v>505597</v>
      </c>
      <c r="L26" s="374">
        <v>76379</v>
      </c>
      <c r="M26" s="374">
        <v>119718</v>
      </c>
      <c r="N26" s="374"/>
      <c r="O26" s="374"/>
      <c r="P26" s="374">
        <v>286</v>
      </c>
      <c r="Q26" s="374"/>
      <c r="R26" s="375"/>
      <c r="S26" s="376"/>
      <c r="T26" s="376"/>
      <c r="U26" s="376"/>
      <c r="V26" s="376"/>
      <c r="W26" s="376"/>
      <c r="X26" s="376"/>
      <c r="Y26" s="376"/>
      <c r="Z26" s="376"/>
      <c r="AA26" s="376"/>
      <c r="AB26" s="376"/>
      <c r="AC26" s="376"/>
      <c r="AD26" s="376"/>
      <c r="AE26" s="376"/>
    </row>
    <row r="27" spans="1:31" s="306" customFormat="1" ht="18" customHeight="1" x14ac:dyDescent="0.3">
      <c r="A27" s="279">
        <v>18</v>
      </c>
      <c r="B27" s="300"/>
      <c r="C27" s="370"/>
      <c r="D27" s="370"/>
      <c r="E27" s="377" t="s">
        <v>810</v>
      </c>
      <c r="F27" s="372"/>
      <c r="G27" s="372"/>
      <c r="H27" s="372"/>
      <c r="I27" s="1331"/>
      <c r="J27" s="368">
        <f t="shared" si="3"/>
        <v>727225</v>
      </c>
      <c r="K27" s="1034">
        <v>522226</v>
      </c>
      <c r="L27" s="1034">
        <v>78695</v>
      </c>
      <c r="M27" s="1034">
        <v>123618</v>
      </c>
      <c r="N27" s="1034"/>
      <c r="O27" s="1034"/>
      <c r="P27" s="1034">
        <v>2686</v>
      </c>
      <c r="Q27" s="374"/>
      <c r="R27" s="375"/>
      <c r="S27" s="376"/>
      <c r="T27" s="376"/>
      <c r="U27" s="376"/>
      <c r="V27" s="376"/>
      <c r="W27" s="376"/>
      <c r="X27" s="376"/>
      <c r="Y27" s="376"/>
      <c r="Z27" s="376"/>
      <c r="AA27" s="376"/>
      <c r="AB27" s="376"/>
      <c r="AC27" s="376"/>
      <c r="AD27" s="376"/>
      <c r="AE27" s="376"/>
    </row>
    <row r="28" spans="1:31" s="306" customFormat="1" ht="18" customHeight="1" x14ac:dyDescent="0.3">
      <c r="A28" s="279">
        <v>19</v>
      </c>
      <c r="B28" s="300"/>
      <c r="C28" s="370"/>
      <c r="D28" s="370"/>
      <c r="E28" s="910" t="s">
        <v>890</v>
      </c>
      <c r="F28" s="372"/>
      <c r="G28" s="372"/>
      <c r="H28" s="372"/>
      <c r="I28" s="1331"/>
      <c r="J28" s="1033">
        <f t="shared" si="3"/>
        <v>2182</v>
      </c>
      <c r="K28" s="405">
        <v>1931</v>
      </c>
      <c r="L28" s="405">
        <v>251</v>
      </c>
      <c r="M28" s="405"/>
      <c r="N28" s="374"/>
      <c r="O28" s="374"/>
      <c r="P28" s="374"/>
      <c r="Q28" s="374"/>
      <c r="R28" s="375"/>
      <c r="S28" s="376"/>
      <c r="T28" s="376"/>
      <c r="U28" s="376"/>
      <c r="V28" s="376"/>
      <c r="W28" s="376"/>
      <c r="X28" s="376"/>
      <c r="Y28" s="376"/>
      <c r="Z28" s="376"/>
      <c r="AA28" s="376"/>
      <c r="AB28" s="376"/>
      <c r="AC28" s="376"/>
      <c r="AD28" s="376"/>
      <c r="AE28" s="376"/>
    </row>
    <row r="29" spans="1:31" s="306" customFormat="1" ht="18" customHeight="1" x14ac:dyDescent="0.3">
      <c r="A29" s="279">
        <v>20</v>
      </c>
      <c r="B29" s="300"/>
      <c r="C29" s="370"/>
      <c r="D29" s="370"/>
      <c r="E29" s="910" t="s">
        <v>908</v>
      </c>
      <c r="F29" s="372"/>
      <c r="G29" s="372"/>
      <c r="H29" s="372"/>
      <c r="I29" s="1331"/>
      <c r="J29" s="1033">
        <f t="shared" si="3"/>
        <v>5361</v>
      </c>
      <c r="K29" s="405">
        <v>4744</v>
      </c>
      <c r="L29" s="405">
        <v>617</v>
      </c>
      <c r="M29" s="405"/>
      <c r="N29" s="374"/>
      <c r="O29" s="374"/>
      <c r="P29" s="405"/>
      <c r="Q29" s="374"/>
      <c r="R29" s="375"/>
      <c r="S29" s="376"/>
      <c r="T29" s="376"/>
      <c r="U29" s="376"/>
      <c r="V29" s="376"/>
      <c r="W29" s="376"/>
      <c r="X29" s="376"/>
      <c r="Y29" s="376"/>
      <c r="Z29" s="376"/>
      <c r="AA29" s="376"/>
      <c r="AB29" s="376"/>
      <c r="AC29" s="376"/>
      <c r="AD29" s="376"/>
      <c r="AE29" s="376"/>
    </row>
    <row r="30" spans="1:31" s="306" customFormat="1" ht="18" customHeight="1" x14ac:dyDescent="0.3">
      <c r="A30" s="279">
        <v>21</v>
      </c>
      <c r="B30" s="300"/>
      <c r="C30" s="370"/>
      <c r="D30" s="370"/>
      <c r="E30" s="910" t="s">
        <v>921</v>
      </c>
      <c r="F30" s="372"/>
      <c r="G30" s="372"/>
      <c r="H30" s="372"/>
      <c r="I30" s="1331"/>
      <c r="J30" s="1033">
        <f t="shared" si="3"/>
        <v>0</v>
      </c>
      <c r="K30" s="405"/>
      <c r="L30" s="405"/>
      <c r="M30" s="405">
        <v>-1300</v>
      </c>
      <c r="N30" s="374"/>
      <c r="O30" s="374"/>
      <c r="P30" s="405">
        <v>1300</v>
      </c>
      <c r="Q30" s="374"/>
      <c r="R30" s="375"/>
      <c r="S30" s="376"/>
      <c r="T30" s="376"/>
      <c r="U30" s="376"/>
      <c r="V30" s="376"/>
      <c r="W30" s="376"/>
      <c r="X30" s="376"/>
      <c r="Y30" s="376"/>
      <c r="Z30" s="376"/>
      <c r="AA30" s="376"/>
      <c r="AB30" s="376"/>
      <c r="AC30" s="376"/>
      <c r="AD30" s="376"/>
      <c r="AE30" s="376"/>
    </row>
    <row r="31" spans="1:31" s="306" customFormat="1" ht="18" customHeight="1" x14ac:dyDescent="0.3">
      <c r="A31" s="279">
        <v>22</v>
      </c>
      <c r="B31" s="300"/>
      <c r="C31" s="370"/>
      <c r="D31" s="370"/>
      <c r="E31" s="910" t="s">
        <v>1061</v>
      </c>
      <c r="F31" s="372"/>
      <c r="G31" s="372"/>
      <c r="H31" s="372"/>
      <c r="I31" s="1331"/>
      <c r="J31" s="1033">
        <f t="shared" si="3"/>
        <v>200</v>
      </c>
      <c r="K31" s="405"/>
      <c r="L31" s="405"/>
      <c r="M31" s="405"/>
      <c r="N31" s="374"/>
      <c r="O31" s="374"/>
      <c r="P31" s="405">
        <v>200</v>
      </c>
      <c r="Q31" s="374"/>
      <c r="R31" s="375"/>
      <c r="S31" s="376"/>
      <c r="T31" s="376"/>
      <c r="U31" s="376"/>
      <c r="V31" s="376"/>
      <c r="W31" s="376"/>
      <c r="X31" s="376"/>
      <c r="Y31" s="376"/>
      <c r="Z31" s="376"/>
      <c r="AA31" s="376"/>
      <c r="AB31" s="376"/>
      <c r="AC31" s="376"/>
      <c r="AD31" s="376"/>
      <c r="AE31" s="376"/>
    </row>
    <row r="32" spans="1:31" s="306" customFormat="1" ht="18" customHeight="1" x14ac:dyDescent="0.3">
      <c r="A32" s="279">
        <v>23</v>
      </c>
      <c r="B32" s="300"/>
      <c r="C32" s="370"/>
      <c r="D32" s="370"/>
      <c r="E32" s="377" t="s">
        <v>858</v>
      </c>
      <c r="F32" s="372"/>
      <c r="G32" s="372"/>
      <c r="H32" s="372"/>
      <c r="I32" s="1331"/>
      <c r="J32" s="368">
        <f t="shared" si="3"/>
        <v>734968</v>
      </c>
      <c r="K32" s="1034">
        <f>SUM(K27:K31)</f>
        <v>528901</v>
      </c>
      <c r="L32" s="1034">
        <f t="shared" ref="L32:P32" si="4">SUM(L27:L31)</f>
        <v>79563</v>
      </c>
      <c r="M32" s="1034">
        <f t="shared" si="4"/>
        <v>122318</v>
      </c>
      <c r="N32" s="1034"/>
      <c r="O32" s="1034"/>
      <c r="P32" s="1034">
        <f t="shared" si="4"/>
        <v>4186</v>
      </c>
      <c r="Q32" s="374"/>
      <c r="R32" s="375"/>
      <c r="S32" s="376"/>
      <c r="T32" s="376"/>
      <c r="U32" s="376"/>
      <c r="V32" s="376"/>
      <c r="W32" s="376"/>
      <c r="X32" s="376"/>
      <c r="Y32" s="376"/>
      <c r="Z32" s="376"/>
      <c r="AA32" s="376"/>
      <c r="AB32" s="376"/>
      <c r="AC32" s="376"/>
      <c r="AD32" s="376"/>
      <c r="AE32" s="376"/>
    </row>
    <row r="33" spans="1:31" ht="22.5" customHeight="1" x14ac:dyDescent="0.3">
      <c r="A33" s="279">
        <v>24</v>
      </c>
      <c r="B33" s="293">
        <v>4</v>
      </c>
      <c r="C33" s="366"/>
      <c r="D33" s="377" t="s">
        <v>217</v>
      </c>
      <c r="E33" s="377"/>
      <c r="F33" s="378" t="s">
        <v>23</v>
      </c>
      <c r="G33" s="296">
        <v>457384</v>
      </c>
      <c r="H33" s="296">
        <v>539457</v>
      </c>
      <c r="I33" s="1330">
        <v>548244</v>
      </c>
      <c r="J33" s="368"/>
      <c r="K33" s="296"/>
      <c r="L33" s="296"/>
      <c r="M33" s="296"/>
      <c r="N33" s="296"/>
      <c r="O33" s="296"/>
      <c r="P33" s="296"/>
      <c r="Q33" s="296"/>
      <c r="R33" s="369"/>
    </row>
    <row r="34" spans="1:31" ht="18" customHeight="1" x14ac:dyDescent="0.3">
      <c r="A34" s="279">
        <v>25</v>
      </c>
      <c r="B34" s="293"/>
      <c r="C34" s="366"/>
      <c r="D34" s="367" t="s">
        <v>116</v>
      </c>
      <c r="E34" s="367"/>
      <c r="F34" s="296"/>
      <c r="G34" s="296"/>
      <c r="H34" s="296"/>
      <c r="I34" s="1330"/>
      <c r="J34" s="368"/>
      <c r="K34" s="296"/>
      <c r="L34" s="296"/>
      <c r="M34" s="296"/>
      <c r="N34" s="296"/>
      <c r="O34" s="296"/>
      <c r="P34" s="296"/>
      <c r="Q34" s="296"/>
      <c r="R34" s="369"/>
    </row>
    <row r="35" spans="1:31" s="306" customFormat="1" ht="18" customHeight="1" x14ac:dyDescent="0.3">
      <c r="A35" s="279">
        <v>26</v>
      </c>
      <c r="B35" s="300"/>
      <c r="C35" s="370"/>
      <c r="D35" s="370"/>
      <c r="E35" s="371" t="s">
        <v>245</v>
      </c>
      <c r="F35" s="372"/>
      <c r="G35" s="372"/>
      <c r="H35" s="372"/>
      <c r="I35" s="1331"/>
      <c r="J35" s="373">
        <f t="shared" ref="J35:J40" si="5">SUM(K35:R35)</f>
        <v>616150</v>
      </c>
      <c r="K35" s="374">
        <v>441525</v>
      </c>
      <c r="L35" s="374">
        <v>66083</v>
      </c>
      <c r="M35" s="374">
        <v>108542</v>
      </c>
      <c r="N35" s="374"/>
      <c r="O35" s="374"/>
      <c r="P35" s="374"/>
      <c r="Q35" s="374"/>
      <c r="R35" s="375"/>
      <c r="S35" s="376"/>
      <c r="T35" s="376"/>
      <c r="U35" s="376"/>
      <c r="V35" s="376"/>
      <c r="W35" s="376"/>
      <c r="X35" s="376"/>
      <c r="Y35" s="376"/>
      <c r="Z35" s="376"/>
      <c r="AA35" s="376"/>
      <c r="AB35" s="376"/>
      <c r="AC35" s="376"/>
      <c r="AD35" s="376"/>
      <c r="AE35" s="376"/>
    </row>
    <row r="36" spans="1:31" s="306" customFormat="1" ht="18" customHeight="1" x14ac:dyDescent="0.3">
      <c r="A36" s="279">
        <v>27</v>
      </c>
      <c r="B36" s="300"/>
      <c r="C36" s="370"/>
      <c r="D36" s="370"/>
      <c r="E36" s="377" t="s">
        <v>810</v>
      </c>
      <c r="F36" s="372"/>
      <c r="G36" s="372"/>
      <c r="H36" s="372"/>
      <c r="I36" s="1331"/>
      <c r="J36" s="368">
        <f t="shared" si="5"/>
        <v>638639</v>
      </c>
      <c r="K36" s="1034">
        <v>452390</v>
      </c>
      <c r="L36" s="1034">
        <v>67584</v>
      </c>
      <c r="M36" s="1034">
        <v>115515</v>
      </c>
      <c r="N36" s="1034"/>
      <c r="O36" s="1034"/>
      <c r="P36" s="1034">
        <v>3150</v>
      </c>
      <c r="Q36" s="374"/>
      <c r="R36" s="375"/>
      <c r="S36" s="376"/>
      <c r="T36" s="376"/>
      <c r="U36" s="376"/>
      <c r="V36" s="376"/>
      <c r="W36" s="376"/>
      <c r="X36" s="376"/>
      <c r="Y36" s="376"/>
      <c r="Z36" s="376"/>
      <c r="AA36" s="376"/>
      <c r="AB36" s="376"/>
      <c r="AC36" s="376"/>
      <c r="AD36" s="376"/>
      <c r="AE36" s="376"/>
    </row>
    <row r="37" spans="1:31" s="306" customFormat="1" ht="18" customHeight="1" x14ac:dyDescent="0.3">
      <c r="A37" s="279">
        <v>28</v>
      </c>
      <c r="B37" s="300"/>
      <c r="C37" s="370"/>
      <c r="D37" s="370"/>
      <c r="E37" s="910" t="s">
        <v>890</v>
      </c>
      <c r="F37" s="372"/>
      <c r="G37" s="372"/>
      <c r="H37" s="372"/>
      <c r="I37" s="1331"/>
      <c r="J37" s="1033">
        <f t="shared" si="5"/>
        <v>2403</v>
      </c>
      <c r="K37" s="405">
        <v>2126</v>
      </c>
      <c r="L37" s="405">
        <v>277</v>
      </c>
      <c r="M37" s="405"/>
      <c r="N37" s="405"/>
      <c r="O37" s="405"/>
      <c r="P37" s="405"/>
      <c r="Q37" s="374"/>
      <c r="R37" s="375"/>
      <c r="S37" s="376"/>
      <c r="T37" s="376"/>
      <c r="U37" s="376"/>
      <c r="V37" s="376"/>
      <c r="W37" s="376"/>
      <c r="X37" s="376"/>
      <c r="Y37" s="376"/>
      <c r="Z37" s="376"/>
      <c r="AA37" s="376"/>
      <c r="AB37" s="376"/>
      <c r="AC37" s="376"/>
      <c r="AD37" s="376"/>
      <c r="AE37" s="376"/>
    </row>
    <row r="38" spans="1:31" s="306" customFormat="1" ht="18" customHeight="1" x14ac:dyDescent="0.3">
      <c r="A38" s="279">
        <v>29</v>
      </c>
      <c r="B38" s="300"/>
      <c r="C38" s="370"/>
      <c r="D38" s="370"/>
      <c r="E38" s="910" t="s">
        <v>908</v>
      </c>
      <c r="F38" s="372"/>
      <c r="G38" s="372"/>
      <c r="H38" s="372"/>
      <c r="I38" s="1331"/>
      <c r="J38" s="1033">
        <f t="shared" si="5"/>
        <v>5153</v>
      </c>
      <c r="K38" s="405">
        <v>4560</v>
      </c>
      <c r="L38" s="405">
        <v>593</v>
      </c>
      <c r="M38" s="405"/>
      <c r="N38" s="405"/>
      <c r="O38" s="405"/>
      <c r="P38" s="405"/>
      <c r="Q38" s="374"/>
      <c r="R38" s="375"/>
      <c r="S38" s="376"/>
      <c r="T38" s="376"/>
      <c r="U38" s="376"/>
      <c r="V38" s="376"/>
      <c r="W38" s="376"/>
      <c r="X38" s="376"/>
      <c r="Y38" s="376"/>
      <c r="Z38" s="376"/>
      <c r="AA38" s="376"/>
      <c r="AB38" s="376"/>
      <c r="AC38" s="376"/>
      <c r="AD38" s="376"/>
      <c r="AE38" s="376"/>
    </row>
    <row r="39" spans="1:31" s="306" customFormat="1" ht="18" customHeight="1" x14ac:dyDescent="0.3">
      <c r="A39" s="279">
        <v>30</v>
      </c>
      <c r="B39" s="300"/>
      <c r="C39" s="370"/>
      <c r="D39" s="370"/>
      <c r="E39" s="910" t="s">
        <v>921</v>
      </c>
      <c r="F39" s="372"/>
      <c r="G39" s="372"/>
      <c r="H39" s="372"/>
      <c r="I39" s="1331"/>
      <c r="J39" s="1033">
        <f t="shared" si="5"/>
        <v>0</v>
      </c>
      <c r="K39" s="405">
        <v>6000</v>
      </c>
      <c r="L39" s="405"/>
      <c r="M39" s="405">
        <f>-6000-1512</f>
        <v>-7512</v>
      </c>
      <c r="N39" s="405"/>
      <c r="O39" s="405"/>
      <c r="P39" s="405">
        <v>1512</v>
      </c>
      <c r="Q39" s="374"/>
      <c r="R39" s="375"/>
      <c r="S39" s="376"/>
      <c r="T39" s="376"/>
      <c r="U39" s="376"/>
      <c r="V39" s="376"/>
      <c r="W39" s="376"/>
      <c r="X39" s="376"/>
      <c r="Y39" s="376"/>
      <c r="Z39" s="376"/>
      <c r="AA39" s="376"/>
      <c r="AB39" s="376"/>
      <c r="AC39" s="376"/>
      <c r="AD39" s="376"/>
      <c r="AE39" s="376"/>
    </row>
    <row r="40" spans="1:31" s="306" customFormat="1" ht="18" customHeight="1" x14ac:dyDescent="0.3">
      <c r="A40" s="279">
        <v>31</v>
      </c>
      <c r="B40" s="300"/>
      <c r="C40" s="370"/>
      <c r="D40" s="370"/>
      <c r="E40" s="377" t="s">
        <v>858</v>
      </c>
      <c r="F40" s="372"/>
      <c r="G40" s="372"/>
      <c r="H40" s="372"/>
      <c r="I40" s="1331"/>
      <c r="J40" s="368">
        <f t="shared" si="5"/>
        <v>646195</v>
      </c>
      <c r="K40" s="1034">
        <f>SUM(K36:K39)</f>
        <v>465076</v>
      </c>
      <c r="L40" s="1034">
        <f t="shared" ref="L40:P40" si="6">SUM(L36:L39)</f>
        <v>68454</v>
      </c>
      <c r="M40" s="1034">
        <f t="shared" si="6"/>
        <v>108003</v>
      </c>
      <c r="N40" s="1034"/>
      <c r="O40" s="1034"/>
      <c r="P40" s="1034">
        <f t="shared" si="6"/>
        <v>4662</v>
      </c>
      <c r="Q40" s="374"/>
      <c r="R40" s="375"/>
      <c r="S40" s="376"/>
      <c r="T40" s="376"/>
      <c r="U40" s="376"/>
      <c r="V40" s="376"/>
      <c r="W40" s="376"/>
      <c r="X40" s="376"/>
      <c r="Y40" s="376"/>
      <c r="Z40" s="376"/>
      <c r="AA40" s="376"/>
      <c r="AB40" s="376"/>
      <c r="AC40" s="376"/>
      <c r="AD40" s="376"/>
      <c r="AE40" s="376"/>
    </row>
    <row r="41" spans="1:31" s="337" customFormat="1" ht="22.5" customHeight="1" x14ac:dyDescent="0.3">
      <c r="A41" s="279">
        <v>32</v>
      </c>
      <c r="B41" s="293">
        <v>5</v>
      </c>
      <c r="C41" s="366"/>
      <c r="D41" s="377" t="s">
        <v>218</v>
      </c>
      <c r="E41" s="377"/>
      <c r="F41" s="378" t="s">
        <v>23</v>
      </c>
      <c r="G41" s="296">
        <v>452652</v>
      </c>
      <c r="H41" s="296">
        <v>579932</v>
      </c>
      <c r="I41" s="1330">
        <v>579996</v>
      </c>
      <c r="J41" s="368"/>
      <c r="K41" s="296"/>
      <c r="L41" s="296"/>
      <c r="M41" s="296"/>
      <c r="N41" s="382"/>
      <c r="O41" s="382"/>
      <c r="P41" s="382"/>
      <c r="Q41" s="382"/>
      <c r="R41" s="383"/>
      <c r="S41" s="379"/>
      <c r="T41" s="379"/>
      <c r="U41" s="379"/>
      <c r="V41" s="379"/>
      <c r="W41" s="379"/>
      <c r="X41" s="379"/>
      <c r="Y41" s="379"/>
      <c r="Z41" s="379"/>
      <c r="AA41" s="379"/>
      <c r="AB41" s="379"/>
      <c r="AC41" s="379"/>
      <c r="AD41" s="379"/>
      <c r="AE41" s="379"/>
    </row>
    <row r="42" spans="1:31" ht="18" customHeight="1" x14ac:dyDescent="0.3">
      <c r="A42" s="279">
        <v>33</v>
      </c>
      <c r="B42" s="293"/>
      <c r="C42" s="366"/>
      <c r="D42" s="367" t="s">
        <v>117</v>
      </c>
      <c r="E42" s="367"/>
      <c r="F42" s="296"/>
      <c r="G42" s="296"/>
      <c r="H42" s="296"/>
      <c r="I42" s="1330"/>
      <c r="J42" s="368"/>
      <c r="K42" s="296"/>
      <c r="L42" s="296"/>
      <c r="M42" s="296"/>
      <c r="N42" s="382"/>
      <c r="O42" s="382"/>
      <c r="P42" s="382"/>
      <c r="Q42" s="382"/>
      <c r="R42" s="383"/>
    </row>
    <row r="43" spans="1:31" s="318" customFormat="1" ht="18" customHeight="1" x14ac:dyDescent="0.3">
      <c r="A43" s="279">
        <v>34</v>
      </c>
      <c r="B43" s="300"/>
      <c r="C43" s="370"/>
      <c r="D43" s="370"/>
      <c r="E43" s="371" t="s">
        <v>245</v>
      </c>
      <c r="F43" s="372"/>
      <c r="G43" s="372"/>
      <c r="H43" s="372"/>
      <c r="I43" s="1331"/>
      <c r="J43" s="373">
        <f t="shared" ref="J43:J48" si="7">SUM(K43:R43)</f>
        <v>658480</v>
      </c>
      <c r="K43" s="374">
        <v>438689</v>
      </c>
      <c r="L43" s="374">
        <v>66509</v>
      </c>
      <c r="M43" s="374">
        <v>153282</v>
      </c>
      <c r="N43" s="374"/>
      <c r="O43" s="374"/>
      <c r="P43" s="374"/>
      <c r="Q43" s="374"/>
      <c r="R43" s="375"/>
      <c r="S43" s="380"/>
      <c r="T43" s="380"/>
      <c r="U43" s="380"/>
      <c r="V43" s="380"/>
      <c r="W43" s="380"/>
      <c r="X43" s="380"/>
      <c r="Y43" s="380"/>
      <c r="Z43" s="380"/>
      <c r="AA43" s="380"/>
      <c r="AB43" s="380"/>
      <c r="AC43" s="380"/>
      <c r="AD43" s="380"/>
      <c r="AE43" s="380"/>
    </row>
    <row r="44" spans="1:31" s="318" customFormat="1" ht="18" customHeight="1" x14ac:dyDescent="0.3">
      <c r="A44" s="279">
        <v>35</v>
      </c>
      <c r="B44" s="300"/>
      <c r="C44" s="370"/>
      <c r="D44" s="370"/>
      <c r="E44" s="377" t="s">
        <v>810</v>
      </c>
      <c r="F44" s="372"/>
      <c r="G44" s="372"/>
      <c r="H44" s="372"/>
      <c r="I44" s="1331"/>
      <c r="J44" s="368">
        <f t="shared" si="7"/>
        <v>692601</v>
      </c>
      <c r="K44" s="1034">
        <v>447248</v>
      </c>
      <c r="L44" s="1034">
        <v>69166</v>
      </c>
      <c r="M44" s="1034">
        <v>168687</v>
      </c>
      <c r="N44" s="1034"/>
      <c r="O44" s="1034"/>
      <c r="P44" s="1034">
        <v>7500</v>
      </c>
      <c r="Q44" s="374"/>
      <c r="R44" s="375"/>
      <c r="S44" s="380"/>
      <c r="T44" s="380"/>
      <c r="U44" s="380"/>
      <c r="V44" s="380"/>
      <c r="W44" s="380"/>
      <c r="X44" s="380"/>
      <c r="Y44" s="380"/>
      <c r="Z44" s="380"/>
      <c r="AA44" s="380"/>
      <c r="AB44" s="380"/>
      <c r="AC44" s="380"/>
      <c r="AD44" s="380"/>
      <c r="AE44" s="380"/>
    </row>
    <row r="45" spans="1:31" s="318" customFormat="1" ht="18" customHeight="1" x14ac:dyDescent="0.3">
      <c r="A45" s="279">
        <v>36</v>
      </c>
      <c r="B45" s="300"/>
      <c r="C45" s="370"/>
      <c r="D45" s="370"/>
      <c r="E45" s="910" t="s">
        <v>890</v>
      </c>
      <c r="F45" s="372"/>
      <c r="G45" s="372"/>
      <c r="H45" s="372"/>
      <c r="I45" s="1331"/>
      <c r="J45" s="1033">
        <f t="shared" si="7"/>
        <v>2290</v>
      </c>
      <c r="K45" s="405">
        <v>2026</v>
      </c>
      <c r="L45" s="405">
        <v>264</v>
      </c>
      <c r="M45" s="405"/>
      <c r="N45" s="405"/>
      <c r="O45" s="405"/>
      <c r="P45" s="405"/>
      <c r="Q45" s="374"/>
      <c r="R45" s="375"/>
      <c r="S45" s="380"/>
      <c r="T45" s="380"/>
      <c r="U45" s="380"/>
      <c r="V45" s="380"/>
      <c r="W45" s="380"/>
      <c r="X45" s="380"/>
      <c r="Y45" s="380"/>
      <c r="Z45" s="380"/>
      <c r="AA45" s="380"/>
      <c r="AB45" s="380"/>
      <c r="AC45" s="380"/>
      <c r="AD45" s="380"/>
      <c r="AE45" s="380"/>
    </row>
    <row r="46" spans="1:31" s="318" customFormat="1" ht="18" customHeight="1" x14ac:dyDescent="0.3">
      <c r="A46" s="279">
        <v>37</v>
      </c>
      <c r="B46" s="300"/>
      <c r="C46" s="370"/>
      <c r="D46" s="370"/>
      <c r="E46" s="910" t="s">
        <v>908</v>
      </c>
      <c r="F46" s="372"/>
      <c r="G46" s="372"/>
      <c r="H46" s="372"/>
      <c r="I46" s="1331"/>
      <c r="J46" s="1033">
        <f t="shared" si="7"/>
        <v>3014</v>
      </c>
      <c r="K46" s="405">
        <v>2667</v>
      </c>
      <c r="L46" s="405">
        <v>347</v>
      </c>
      <c r="M46" s="405"/>
      <c r="N46" s="405"/>
      <c r="O46" s="405"/>
      <c r="P46" s="405"/>
      <c r="Q46" s="374"/>
      <c r="R46" s="375"/>
      <c r="S46" s="380"/>
      <c r="T46" s="380"/>
      <c r="U46" s="380"/>
      <c r="V46" s="380"/>
      <c r="W46" s="380"/>
      <c r="X46" s="380"/>
      <c r="Y46" s="380"/>
      <c r="Z46" s="380"/>
      <c r="AA46" s="380"/>
      <c r="AB46" s="380"/>
      <c r="AC46" s="380"/>
      <c r="AD46" s="380"/>
      <c r="AE46" s="380"/>
    </row>
    <row r="47" spans="1:31" s="318" customFormat="1" ht="18" customHeight="1" x14ac:dyDescent="0.3">
      <c r="A47" s="279">
        <v>38</v>
      </c>
      <c r="B47" s="300"/>
      <c r="C47" s="370"/>
      <c r="D47" s="370"/>
      <c r="E47" s="910" t="s">
        <v>1098</v>
      </c>
      <c r="F47" s="372"/>
      <c r="G47" s="372"/>
      <c r="H47" s="372"/>
      <c r="I47" s="1331"/>
      <c r="J47" s="1033">
        <f t="shared" si="7"/>
        <v>200</v>
      </c>
      <c r="K47" s="405"/>
      <c r="L47" s="405"/>
      <c r="M47" s="405">
        <v>200</v>
      </c>
      <c r="N47" s="405"/>
      <c r="O47" s="405"/>
      <c r="P47" s="405"/>
      <c r="Q47" s="374"/>
      <c r="R47" s="375"/>
      <c r="S47" s="380"/>
      <c r="T47" s="380"/>
      <c r="U47" s="380"/>
      <c r="V47" s="380"/>
      <c r="W47" s="380"/>
      <c r="X47" s="380"/>
      <c r="Y47" s="380"/>
      <c r="Z47" s="380"/>
      <c r="AA47" s="380"/>
      <c r="AB47" s="380"/>
      <c r="AC47" s="380"/>
      <c r="AD47" s="380"/>
      <c r="AE47" s="380"/>
    </row>
    <row r="48" spans="1:31" s="318" customFormat="1" ht="18" customHeight="1" x14ac:dyDescent="0.3">
      <c r="A48" s="279">
        <v>39</v>
      </c>
      <c r="B48" s="300"/>
      <c r="C48" s="370"/>
      <c r="D48" s="370"/>
      <c r="E48" s="377" t="s">
        <v>858</v>
      </c>
      <c r="F48" s="372"/>
      <c r="G48" s="372"/>
      <c r="H48" s="372"/>
      <c r="I48" s="1331"/>
      <c r="J48" s="368">
        <f t="shared" si="7"/>
        <v>698105</v>
      </c>
      <c r="K48" s="1034">
        <f>SUM(K44:K47)</f>
        <v>451941</v>
      </c>
      <c r="L48" s="1034">
        <f t="shared" ref="L48" si="8">SUM(L44:L47)</f>
        <v>69777</v>
      </c>
      <c r="M48" s="1034">
        <f>SUM(M44:M47)</f>
        <v>168887</v>
      </c>
      <c r="N48" s="1034"/>
      <c r="O48" s="1034"/>
      <c r="P48" s="1034">
        <f>SUM(P44:P47)</f>
        <v>7500</v>
      </c>
      <c r="Q48" s="374"/>
      <c r="R48" s="375"/>
      <c r="S48" s="380"/>
      <c r="T48" s="380"/>
      <c r="U48" s="380"/>
      <c r="V48" s="380"/>
      <c r="W48" s="380"/>
      <c r="X48" s="380"/>
      <c r="Y48" s="380"/>
      <c r="Z48" s="380"/>
      <c r="AA48" s="380"/>
      <c r="AB48" s="380"/>
      <c r="AC48" s="380"/>
      <c r="AD48" s="380"/>
      <c r="AE48" s="380"/>
    </row>
    <row r="49" spans="1:31" s="284" customFormat="1" ht="22.5" customHeight="1" x14ac:dyDescent="0.3">
      <c r="A49" s="279">
        <v>40</v>
      </c>
      <c r="B49" s="293">
        <v>6</v>
      </c>
      <c r="C49" s="366"/>
      <c r="D49" s="377" t="s">
        <v>219</v>
      </c>
      <c r="E49" s="377"/>
      <c r="F49" s="378" t="s">
        <v>23</v>
      </c>
      <c r="G49" s="296">
        <v>269715</v>
      </c>
      <c r="H49" s="296">
        <v>339398</v>
      </c>
      <c r="I49" s="1330">
        <v>341296</v>
      </c>
      <c r="J49" s="368"/>
      <c r="K49" s="296"/>
      <c r="L49" s="296"/>
      <c r="M49" s="296"/>
      <c r="N49" s="382"/>
      <c r="O49" s="382"/>
      <c r="P49" s="382"/>
      <c r="Q49" s="382"/>
      <c r="R49" s="383"/>
      <c r="S49" s="65"/>
      <c r="T49" s="65"/>
      <c r="U49" s="65"/>
      <c r="V49" s="65"/>
      <c r="W49" s="65"/>
      <c r="X49" s="65"/>
      <c r="Y49" s="65"/>
      <c r="Z49" s="65"/>
      <c r="AA49" s="65"/>
      <c r="AB49" s="65"/>
      <c r="AC49" s="65"/>
      <c r="AD49" s="65"/>
      <c r="AE49" s="65"/>
    </row>
    <row r="50" spans="1:31" s="337" customFormat="1" ht="18" customHeight="1" x14ac:dyDescent="0.3">
      <c r="A50" s="279">
        <v>41</v>
      </c>
      <c r="B50" s="293"/>
      <c r="C50" s="366"/>
      <c r="D50" s="367" t="s">
        <v>118</v>
      </c>
      <c r="E50" s="367"/>
      <c r="F50" s="296"/>
      <c r="G50" s="296"/>
      <c r="H50" s="296"/>
      <c r="I50" s="1330"/>
      <c r="J50" s="368"/>
      <c r="K50" s="296"/>
      <c r="L50" s="296"/>
      <c r="M50" s="296"/>
      <c r="N50" s="382"/>
      <c r="O50" s="382"/>
      <c r="P50" s="382"/>
      <c r="Q50" s="382"/>
      <c r="R50" s="383"/>
      <c r="S50" s="379"/>
      <c r="T50" s="379"/>
      <c r="U50" s="379"/>
      <c r="V50" s="379"/>
      <c r="W50" s="379"/>
      <c r="X50" s="379"/>
      <c r="Y50" s="379"/>
      <c r="Z50" s="379"/>
      <c r="AA50" s="379"/>
      <c r="AB50" s="379"/>
      <c r="AC50" s="379"/>
      <c r="AD50" s="379"/>
      <c r="AE50" s="379"/>
    </row>
    <row r="51" spans="1:31" s="318" customFormat="1" ht="18" customHeight="1" x14ac:dyDescent="0.3">
      <c r="A51" s="279">
        <v>42</v>
      </c>
      <c r="B51" s="300"/>
      <c r="C51" s="370"/>
      <c r="D51" s="370"/>
      <c r="E51" s="371" t="s">
        <v>245</v>
      </c>
      <c r="F51" s="372"/>
      <c r="G51" s="372"/>
      <c r="H51" s="372"/>
      <c r="I51" s="1331"/>
      <c r="J51" s="373">
        <f t="shared" ref="J51:J57" si="9">SUM(K51:R51)</f>
        <v>386867</v>
      </c>
      <c r="K51" s="374">
        <v>255001</v>
      </c>
      <c r="L51" s="374">
        <v>41056</v>
      </c>
      <c r="M51" s="374">
        <v>90810</v>
      </c>
      <c r="N51" s="374"/>
      <c r="O51" s="374"/>
      <c r="P51" s="374"/>
      <c r="Q51" s="374"/>
      <c r="R51" s="375"/>
      <c r="S51" s="380"/>
      <c r="T51" s="380"/>
      <c r="U51" s="380"/>
      <c r="V51" s="380"/>
      <c r="W51" s="380"/>
      <c r="X51" s="380"/>
      <c r="Y51" s="380"/>
      <c r="Z51" s="380"/>
      <c r="AA51" s="380"/>
      <c r="AB51" s="380"/>
      <c r="AC51" s="380"/>
      <c r="AD51" s="380"/>
      <c r="AE51" s="380"/>
    </row>
    <row r="52" spans="1:31" s="318" customFormat="1" ht="18" customHeight="1" x14ac:dyDescent="0.3">
      <c r="A52" s="279">
        <v>43</v>
      </c>
      <c r="B52" s="300"/>
      <c r="C52" s="1032"/>
      <c r="D52" s="370"/>
      <c r="E52" s="377" t="s">
        <v>810</v>
      </c>
      <c r="F52" s="1021"/>
      <c r="G52" s="1021"/>
      <c r="H52" s="1021"/>
      <c r="I52" s="1332"/>
      <c r="J52" s="368">
        <f t="shared" si="9"/>
        <v>408581</v>
      </c>
      <c r="K52" s="1061">
        <v>271532</v>
      </c>
      <c r="L52" s="1061">
        <v>42575</v>
      </c>
      <c r="M52" s="1061">
        <v>93574</v>
      </c>
      <c r="N52" s="1061"/>
      <c r="O52" s="1061"/>
      <c r="P52" s="1061">
        <v>900</v>
      </c>
      <c r="Q52" s="1022"/>
      <c r="R52" s="1023"/>
      <c r="S52" s="380"/>
      <c r="T52" s="380"/>
      <c r="U52" s="380"/>
      <c r="V52" s="380"/>
      <c r="W52" s="380"/>
      <c r="X52" s="380"/>
      <c r="Y52" s="380"/>
      <c r="Z52" s="380"/>
      <c r="AA52" s="380"/>
      <c r="AB52" s="380"/>
      <c r="AC52" s="380"/>
      <c r="AD52" s="380"/>
      <c r="AE52" s="380"/>
    </row>
    <row r="53" spans="1:31" s="318" customFormat="1" ht="18" customHeight="1" x14ac:dyDescent="0.3">
      <c r="A53" s="279">
        <v>44</v>
      </c>
      <c r="B53" s="300"/>
      <c r="C53" s="1020"/>
      <c r="D53" s="1032"/>
      <c r="E53" s="910" t="s">
        <v>890</v>
      </c>
      <c r="F53" s="1021"/>
      <c r="G53" s="1021"/>
      <c r="H53" s="1021"/>
      <c r="I53" s="1332"/>
      <c r="J53" s="1033">
        <f t="shared" si="9"/>
        <v>1458</v>
      </c>
      <c r="K53" s="1062">
        <v>1290</v>
      </c>
      <c r="L53" s="1062">
        <v>168</v>
      </c>
      <c r="M53" s="1062"/>
      <c r="N53" s="1062"/>
      <c r="O53" s="1062"/>
      <c r="P53" s="1062"/>
      <c r="Q53" s="1022"/>
      <c r="R53" s="1023"/>
      <c r="S53" s="380"/>
      <c r="T53" s="380"/>
      <c r="U53" s="380"/>
      <c r="V53" s="380"/>
      <c r="W53" s="380"/>
      <c r="X53" s="380"/>
      <c r="Y53" s="380"/>
      <c r="Z53" s="380"/>
      <c r="AA53" s="380"/>
      <c r="AB53" s="380"/>
      <c r="AC53" s="380"/>
      <c r="AD53" s="380"/>
      <c r="AE53" s="380"/>
    </row>
    <row r="54" spans="1:31" s="318" customFormat="1" ht="18" customHeight="1" x14ac:dyDescent="0.3">
      <c r="A54" s="279">
        <v>45</v>
      </c>
      <c r="B54" s="300"/>
      <c r="C54" s="1020"/>
      <c r="D54" s="1029"/>
      <c r="E54" s="910" t="s">
        <v>908</v>
      </c>
      <c r="F54" s="1021"/>
      <c r="G54" s="1021"/>
      <c r="H54" s="1021"/>
      <c r="I54" s="1332"/>
      <c r="J54" s="1033">
        <f t="shared" si="9"/>
        <v>797</v>
      </c>
      <c r="K54" s="1062">
        <v>705</v>
      </c>
      <c r="L54" s="1062">
        <v>92</v>
      </c>
      <c r="M54" s="1062"/>
      <c r="N54" s="1062"/>
      <c r="O54" s="1062"/>
      <c r="P54" s="1062"/>
      <c r="Q54" s="1022"/>
      <c r="R54" s="1023"/>
      <c r="S54" s="380"/>
      <c r="T54" s="380"/>
      <c r="U54" s="380"/>
      <c r="V54" s="380"/>
      <c r="W54" s="380"/>
      <c r="X54" s="380"/>
      <c r="Y54" s="380"/>
      <c r="Z54" s="380"/>
      <c r="AA54" s="380"/>
      <c r="AB54" s="380"/>
      <c r="AC54" s="380"/>
      <c r="AD54" s="380"/>
      <c r="AE54" s="380"/>
    </row>
    <row r="55" spans="1:31" s="318" customFormat="1" ht="18" customHeight="1" x14ac:dyDescent="0.3">
      <c r="A55" s="279">
        <v>46</v>
      </c>
      <c r="B55" s="300"/>
      <c r="C55" s="1020"/>
      <c r="D55" s="1029"/>
      <c r="E55" s="910" t="s">
        <v>979</v>
      </c>
      <c r="F55" s="1021"/>
      <c r="G55" s="1021"/>
      <c r="H55" s="1021"/>
      <c r="I55" s="1332"/>
      <c r="J55" s="1033">
        <f t="shared" si="9"/>
        <v>737</v>
      </c>
      <c r="K55" s="1062">
        <v>652</v>
      </c>
      <c r="L55" s="1062">
        <v>85</v>
      </c>
      <c r="M55" s="1062"/>
      <c r="N55" s="1062"/>
      <c r="O55" s="1062"/>
      <c r="P55" s="1062"/>
      <c r="Q55" s="1022"/>
      <c r="R55" s="1023"/>
      <c r="S55" s="380"/>
      <c r="T55" s="380"/>
      <c r="U55" s="380"/>
      <c r="V55" s="380"/>
      <c r="W55" s="380"/>
      <c r="X55" s="380"/>
      <c r="Y55" s="380"/>
      <c r="Z55" s="380"/>
      <c r="AA55" s="380"/>
      <c r="AB55" s="380"/>
      <c r="AC55" s="380"/>
      <c r="AD55" s="380"/>
      <c r="AE55" s="380"/>
    </row>
    <row r="56" spans="1:31" s="318" customFormat="1" ht="18" customHeight="1" x14ac:dyDescent="0.3">
      <c r="A56" s="279">
        <v>47</v>
      </c>
      <c r="B56" s="300"/>
      <c r="C56" s="1020"/>
      <c r="D56" s="1029"/>
      <c r="E56" s="910" t="s">
        <v>921</v>
      </c>
      <c r="F56" s="1021"/>
      <c r="G56" s="1021"/>
      <c r="H56" s="1021"/>
      <c r="I56" s="1332"/>
      <c r="J56" s="1033">
        <f t="shared" si="9"/>
        <v>0</v>
      </c>
      <c r="K56" s="1062"/>
      <c r="L56" s="1062"/>
      <c r="M56" s="1062">
        <v>-1275</v>
      </c>
      <c r="N56" s="1062"/>
      <c r="O56" s="1062"/>
      <c r="P56" s="1062">
        <v>1275</v>
      </c>
      <c r="Q56" s="1022"/>
      <c r="R56" s="1023"/>
      <c r="S56" s="380"/>
      <c r="T56" s="380"/>
      <c r="U56" s="380"/>
      <c r="V56" s="380"/>
      <c r="W56" s="380"/>
      <c r="X56" s="380"/>
      <c r="Y56" s="380"/>
      <c r="Z56" s="380"/>
      <c r="AA56" s="380"/>
      <c r="AB56" s="380"/>
      <c r="AC56" s="380"/>
      <c r="AD56" s="380"/>
      <c r="AE56" s="380"/>
    </row>
    <row r="57" spans="1:31" s="318" customFormat="1" ht="18" customHeight="1" thickBot="1" x14ac:dyDescent="0.35">
      <c r="A57" s="279">
        <v>48</v>
      </c>
      <c r="B57" s="300"/>
      <c r="C57" s="1020"/>
      <c r="D57" s="390"/>
      <c r="E57" s="377" t="s">
        <v>858</v>
      </c>
      <c r="F57" s="1021"/>
      <c r="G57" s="1021"/>
      <c r="H57" s="1021"/>
      <c r="I57" s="1332"/>
      <c r="J57" s="368">
        <f t="shared" si="9"/>
        <v>411573</v>
      </c>
      <c r="K57" s="1061">
        <f>SUM(K52:K56)</f>
        <v>274179</v>
      </c>
      <c r="L57" s="1061">
        <f t="shared" ref="L57:P57" si="10">SUM(L52:L56)</f>
        <v>42920</v>
      </c>
      <c r="M57" s="1061">
        <f t="shared" si="10"/>
        <v>92299</v>
      </c>
      <c r="N57" s="1061"/>
      <c r="O57" s="1061"/>
      <c r="P57" s="1061">
        <f t="shared" si="10"/>
        <v>2175</v>
      </c>
      <c r="Q57" s="1022"/>
      <c r="R57" s="1023"/>
      <c r="S57" s="380"/>
      <c r="T57" s="380"/>
      <c r="U57" s="380"/>
      <c r="V57" s="380"/>
      <c r="W57" s="380"/>
      <c r="X57" s="380"/>
      <c r="Y57" s="380"/>
      <c r="Z57" s="380"/>
      <c r="AA57" s="380"/>
      <c r="AB57" s="380"/>
      <c r="AC57" s="380"/>
      <c r="AD57" s="380"/>
      <c r="AE57" s="380"/>
    </row>
    <row r="58" spans="1:31" s="389" customFormat="1" ht="22.5" customHeight="1" thickTop="1" x14ac:dyDescent="0.2">
      <c r="A58" s="279">
        <v>49</v>
      </c>
      <c r="B58" s="384"/>
      <c r="C58" s="1868" t="s">
        <v>311</v>
      </c>
      <c r="D58" s="1869"/>
      <c r="E58" s="1870"/>
      <c r="F58" s="385"/>
      <c r="G58" s="385">
        <f>SUM(G10:G51)</f>
        <v>2505071</v>
      </c>
      <c r="H58" s="385">
        <f>SUM(H10:H51)</f>
        <v>3061705</v>
      </c>
      <c r="I58" s="1333">
        <f>SUM(I10:I51)</f>
        <v>3052842</v>
      </c>
      <c r="J58" s="386"/>
      <c r="K58" s="385"/>
      <c r="L58" s="385"/>
      <c r="M58" s="385"/>
      <c r="N58" s="385"/>
      <c r="O58" s="385"/>
      <c r="P58" s="385"/>
      <c r="Q58" s="385"/>
      <c r="R58" s="387"/>
      <c r="S58" s="388"/>
      <c r="T58" s="388"/>
      <c r="U58" s="388"/>
      <c r="V58" s="388"/>
      <c r="W58" s="388"/>
      <c r="X58" s="388"/>
      <c r="Y58" s="388"/>
      <c r="Z58" s="388"/>
      <c r="AA58" s="388"/>
      <c r="AB58" s="388"/>
      <c r="AC58" s="388"/>
      <c r="AD58" s="388"/>
      <c r="AE58" s="388"/>
    </row>
    <row r="59" spans="1:31" s="306" customFormat="1" ht="18" customHeight="1" x14ac:dyDescent="0.3">
      <c r="A59" s="279">
        <v>50</v>
      </c>
      <c r="B59" s="352"/>
      <c r="C59" s="1029"/>
      <c r="D59" s="1030"/>
      <c r="E59" s="899" t="s">
        <v>245</v>
      </c>
      <c r="F59" s="1031"/>
      <c r="G59" s="1031"/>
      <c r="H59" s="1031"/>
      <c r="I59" s="1334"/>
      <c r="J59" s="399">
        <f>SUM(K59:R59)</f>
        <v>3430041</v>
      </c>
      <c r="K59" s="400">
        <f t="shared" ref="K59:R60" si="11">SUM(K12,K20,K26,K35,K43,K51)</f>
        <v>2369597</v>
      </c>
      <c r="L59" s="400">
        <f t="shared" si="11"/>
        <v>363724</v>
      </c>
      <c r="M59" s="400">
        <f t="shared" si="11"/>
        <v>696434</v>
      </c>
      <c r="N59" s="400">
        <f t="shared" si="11"/>
        <v>0</v>
      </c>
      <c r="O59" s="400">
        <f t="shared" si="11"/>
        <v>0</v>
      </c>
      <c r="P59" s="400">
        <f t="shared" si="11"/>
        <v>286</v>
      </c>
      <c r="Q59" s="400">
        <f t="shared" si="11"/>
        <v>0</v>
      </c>
      <c r="R59" s="401">
        <f t="shared" si="11"/>
        <v>0</v>
      </c>
      <c r="S59" s="376"/>
      <c r="T59" s="376"/>
      <c r="U59" s="376"/>
      <c r="V59" s="376"/>
      <c r="W59" s="376"/>
      <c r="X59" s="376"/>
      <c r="Y59" s="376"/>
      <c r="Z59" s="376"/>
      <c r="AA59" s="376"/>
      <c r="AB59" s="376"/>
      <c r="AC59" s="376"/>
      <c r="AD59" s="376"/>
      <c r="AE59" s="376"/>
    </row>
    <row r="60" spans="1:31" s="306" customFormat="1" ht="18" customHeight="1" x14ac:dyDescent="0.3">
      <c r="A60" s="279">
        <v>51</v>
      </c>
      <c r="B60" s="897"/>
      <c r="C60" s="1029"/>
      <c r="D60" s="1030"/>
      <c r="E60" s="377" t="s">
        <v>810</v>
      </c>
      <c r="F60" s="1031"/>
      <c r="G60" s="1031"/>
      <c r="H60" s="1031"/>
      <c r="I60" s="1334"/>
      <c r="J60" s="1474">
        <f>SUM(K60:R60)</f>
        <v>3582144</v>
      </c>
      <c r="K60" s="1043">
        <f t="shared" si="11"/>
        <v>2437019</v>
      </c>
      <c r="L60" s="1043">
        <f t="shared" si="11"/>
        <v>376603</v>
      </c>
      <c r="M60" s="1043">
        <f t="shared" si="11"/>
        <v>742798</v>
      </c>
      <c r="N60" s="1043">
        <f t="shared" si="11"/>
        <v>0</v>
      </c>
      <c r="O60" s="1043">
        <f t="shared" si="11"/>
        <v>0</v>
      </c>
      <c r="P60" s="1043">
        <f t="shared" si="11"/>
        <v>25724</v>
      </c>
      <c r="Q60" s="1043">
        <f t="shared" si="11"/>
        <v>0</v>
      </c>
      <c r="R60" s="1482">
        <f t="shared" si="11"/>
        <v>0</v>
      </c>
      <c r="S60" s="376"/>
      <c r="T60" s="376"/>
      <c r="U60" s="376"/>
      <c r="V60" s="376"/>
      <c r="W60" s="376"/>
      <c r="X60" s="376"/>
      <c r="Y60" s="376"/>
      <c r="Z60" s="376"/>
      <c r="AA60" s="376"/>
      <c r="AB60" s="376"/>
      <c r="AC60" s="376"/>
      <c r="AD60" s="376"/>
      <c r="AE60" s="376"/>
    </row>
    <row r="61" spans="1:31" s="306" customFormat="1" ht="18" customHeight="1" x14ac:dyDescent="0.3">
      <c r="A61" s="279">
        <v>52</v>
      </c>
      <c r="B61" s="897"/>
      <c r="C61" s="1032"/>
      <c r="D61" s="370"/>
      <c r="E61" s="910" t="s">
        <v>652</v>
      </c>
      <c r="F61" s="372"/>
      <c r="G61" s="372"/>
      <c r="H61" s="372"/>
      <c r="I61" s="1331"/>
      <c r="J61" s="1033">
        <f>SUM(K61:R61)</f>
        <v>30861</v>
      </c>
      <c r="K61" s="405">
        <f>K53+K45+K37+K28+K22+K14+K54+K29+K15+K46+K47+K38+K55+K56+K16+K30+K39+K31</f>
        <v>32954</v>
      </c>
      <c r="L61" s="405">
        <f t="shared" ref="L61:R61" si="12">L53+L45+L37+L28+L22+L14+L54+L29+L15+L46+L47+L38+L55+L56+L16+L30+L39+L31</f>
        <v>3507</v>
      </c>
      <c r="M61" s="405">
        <f t="shared" si="12"/>
        <v>-10887</v>
      </c>
      <c r="N61" s="405">
        <f t="shared" si="12"/>
        <v>0</v>
      </c>
      <c r="O61" s="405">
        <f t="shared" si="12"/>
        <v>0</v>
      </c>
      <c r="P61" s="405">
        <f t="shared" si="12"/>
        <v>5287</v>
      </c>
      <c r="Q61" s="405">
        <f t="shared" si="12"/>
        <v>0</v>
      </c>
      <c r="R61" s="406">
        <f t="shared" si="12"/>
        <v>0</v>
      </c>
      <c r="S61" s="376"/>
      <c r="T61" s="376"/>
      <c r="U61" s="376"/>
      <c r="V61" s="376"/>
      <c r="W61" s="376"/>
      <c r="X61" s="376"/>
      <c r="Y61" s="376"/>
      <c r="Z61" s="376"/>
      <c r="AA61" s="376"/>
      <c r="AB61" s="376"/>
      <c r="AC61" s="376"/>
      <c r="AD61" s="376"/>
      <c r="AE61" s="376"/>
    </row>
    <row r="62" spans="1:31" s="306" customFormat="1" ht="18" customHeight="1" thickBot="1" x14ac:dyDescent="0.35">
      <c r="A62" s="279">
        <v>53</v>
      </c>
      <c r="B62" s="897"/>
      <c r="C62" s="1026"/>
      <c r="D62" s="1027"/>
      <c r="E62" s="911" t="s">
        <v>858</v>
      </c>
      <c r="F62" s="1028"/>
      <c r="G62" s="1028"/>
      <c r="H62" s="1028"/>
      <c r="I62" s="1335"/>
      <c r="J62" s="919">
        <f>SUM(K62:R62)</f>
        <v>3613005</v>
      </c>
      <c r="K62" s="1035">
        <f>SUM(K60:K61)</f>
        <v>2469973</v>
      </c>
      <c r="L62" s="1035">
        <f t="shared" ref="L62:R62" si="13">SUM(L60:L61)</f>
        <v>380110</v>
      </c>
      <c r="M62" s="1035">
        <f t="shared" si="13"/>
        <v>731911</v>
      </c>
      <c r="N62" s="1035">
        <f t="shared" si="13"/>
        <v>0</v>
      </c>
      <c r="O62" s="1035">
        <f t="shared" si="13"/>
        <v>0</v>
      </c>
      <c r="P62" s="1035">
        <f t="shared" si="13"/>
        <v>31011</v>
      </c>
      <c r="Q62" s="1035">
        <f t="shared" si="13"/>
        <v>0</v>
      </c>
      <c r="R62" s="1080">
        <f t="shared" si="13"/>
        <v>0</v>
      </c>
      <c r="S62" s="376"/>
      <c r="T62" s="376"/>
      <c r="U62" s="376"/>
      <c r="V62" s="376"/>
      <c r="W62" s="376"/>
      <c r="X62" s="376"/>
      <c r="Y62" s="376"/>
      <c r="Z62" s="376"/>
      <c r="AA62" s="376"/>
      <c r="AB62" s="376"/>
      <c r="AC62" s="376"/>
      <c r="AD62" s="376"/>
      <c r="AE62" s="376"/>
    </row>
    <row r="63" spans="1:31" s="284" customFormat="1" ht="22.5" customHeight="1" thickTop="1" x14ac:dyDescent="0.3">
      <c r="A63" s="279">
        <v>54</v>
      </c>
      <c r="B63" s="286">
        <v>7</v>
      </c>
      <c r="C63" s="361"/>
      <c r="D63" s="362" t="s">
        <v>253</v>
      </c>
      <c r="E63" s="391"/>
      <c r="F63" s="363" t="s">
        <v>23</v>
      </c>
      <c r="G63" s="290">
        <v>1703488</v>
      </c>
      <c r="H63" s="290">
        <v>1825483</v>
      </c>
      <c r="I63" s="1329">
        <v>1965346</v>
      </c>
      <c r="J63" s="392"/>
      <c r="K63" s="290"/>
      <c r="L63" s="290"/>
      <c r="M63" s="290"/>
      <c r="N63" s="290"/>
      <c r="O63" s="290"/>
      <c r="P63" s="290"/>
      <c r="Q63" s="290"/>
      <c r="R63" s="365"/>
      <c r="S63" s="65"/>
      <c r="T63" s="65"/>
      <c r="U63" s="65"/>
      <c r="V63" s="65"/>
      <c r="W63" s="65"/>
      <c r="X63" s="65"/>
      <c r="Y63" s="65"/>
      <c r="Z63" s="65"/>
      <c r="AA63" s="65"/>
      <c r="AB63" s="65"/>
      <c r="AC63" s="65"/>
      <c r="AD63" s="65"/>
      <c r="AE63" s="65"/>
    </row>
    <row r="64" spans="1:31" s="306" customFormat="1" ht="18" customHeight="1" x14ac:dyDescent="0.3">
      <c r="A64" s="279">
        <v>55</v>
      </c>
      <c r="B64" s="300"/>
      <c r="C64" s="370"/>
      <c r="D64" s="370"/>
      <c r="E64" s="371" t="s">
        <v>245</v>
      </c>
      <c r="F64" s="372"/>
      <c r="G64" s="372"/>
      <c r="H64" s="372"/>
      <c r="I64" s="1331"/>
      <c r="J64" s="373">
        <f>SUM(K64:R64)</f>
        <v>1983101</v>
      </c>
      <c r="K64" s="374">
        <v>1459330</v>
      </c>
      <c r="L64" s="374">
        <v>216137</v>
      </c>
      <c r="M64" s="374">
        <v>305300</v>
      </c>
      <c r="N64" s="374"/>
      <c r="O64" s="374"/>
      <c r="P64" s="374">
        <v>2334</v>
      </c>
      <c r="Q64" s="374"/>
      <c r="R64" s="375"/>
      <c r="S64" s="376"/>
      <c r="T64" s="376"/>
      <c r="U64" s="376"/>
      <c r="V64" s="376"/>
      <c r="W64" s="376"/>
      <c r="X64" s="376"/>
      <c r="Y64" s="376"/>
      <c r="Z64" s="376"/>
      <c r="AA64" s="376"/>
      <c r="AB64" s="376"/>
      <c r="AC64" s="376"/>
      <c r="AD64" s="376"/>
      <c r="AE64" s="376"/>
    </row>
    <row r="65" spans="1:31" s="306" customFormat="1" ht="18" customHeight="1" x14ac:dyDescent="0.3">
      <c r="A65" s="279">
        <v>56</v>
      </c>
      <c r="B65" s="300"/>
      <c r="C65" s="370"/>
      <c r="D65" s="370"/>
      <c r="E65" s="377" t="s">
        <v>810</v>
      </c>
      <c r="F65" s="372"/>
      <c r="G65" s="372"/>
      <c r="H65" s="372"/>
      <c r="I65" s="1331"/>
      <c r="J65" s="368">
        <f>SUM(K65:R65)</f>
        <v>2067287</v>
      </c>
      <c r="K65" s="1034">
        <v>1499424</v>
      </c>
      <c r="L65" s="1034">
        <v>222362</v>
      </c>
      <c r="M65" s="1034">
        <v>325991</v>
      </c>
      <c r="N65" s="1034"/>
      <c r="O65" s="1034"/>
      <c r="P65" s="1034">
        <v>19510</v>
      </c>
      <c r="Q65" s="374"/>
      <c r="R65" s="375"/>
      <c r="S65" s="376"/>
      <c r="T65" s="376"/>
      <c r="U65" s="376"/>
      <c r="V65" s="376"/>
      <c r="W65" s="376"/>
      <c r="X65" s="376"/>
      <c r="Y65" s="376"/>
      <c r="Z65" s="376"/>
      <c r="AA65" s="376"/>
      <c r="AB65" s="376"/>
      <c r="AC65" s="376"/>
      <c r="AD65" s="376"/>
      <c r="AE65" s="376"/>
    </row>
    <row r="66" spans="1:31" s="306" customFormat="1" ht="18" customHeight="1" x14ac:dyDescent="0.3">
      <c r="A66" s="279">
        <v>57</v>
      </c>
      <c r="B66" s="300"/>
      <c r="C66" s="370"/>
      <c r="D66" s="370"/>
      <c r="E66" s="910" t="s">
        <v>887</v>
      </c>
      <c r="F66" s="372"/>
      <c r="G66" s="372"/>
      <c r="H66" s="372"/>
      <c r="I66" s="1331"/>
      <c r="J66" s="1033">
        <f>SUM(K66:R66)</f>
        <v>2913</v>
      </c>
      <c r="K66" s="405">
        <v>2579</v>
      </c>
      <c r="L66" s="405">
        <v>334</v>
      </c>
      <c r="M66" s="405"/>
      <c r="N66" s="405"/>
      <c r="O66" s="405"/>
      <c r="P66" s="405"/>
      <c r="Q66" s="374"/>
      <c r="R66" s="375"/>
      <c r="S66" s="376"/>
      <c r="T66" s="376"/>
      <c r="U66" s="376"/>
      <c r="V66" s="376"/>
      <c r="W66" s="376"/>
      <c r="X66" s="376"/>
      <c r="Y66" s="376"/>
      <c r="Z66" s="376"/>
      <c r="AA66" s="376"/>
      <c r="AB66" s="376"/>
      <c r="AC66" s="376"/>
      <c r="AD66" s="376"/>
      <c r="AE66" s="376"/>
    </row>
    <row r="67" spans="1:31" s="306" customFormat="1" ht="18" customHeight="1" x14ac:dyDescent="0.3">
      <c r="A67" s="279">
        <v>58</v>
      </c>
      <c r="B67" s="300"/>
      <c r="C67" s="370"/>
      <c r="D67" s="370"/>
      <c r="E67" s="910" t="s">
        <v>970</v>
      </c>
      <c r="F67" s="372"/>
      <c r="G67" s="372"/>
      <c r="H67" s="372"/>
      <c r="I67" s="1331"/>
      <c r="J67" s="1033">
        <f t="shared" ref="J67:J68" si="14">SUM(K67:R67)</f>
        <v>35110</v>
      </c>
      <c r="K67" s="405">
        <v>23000</v>
      </c>
      <c r="L67" s="405">
        <v>2110</v>
      </c>
      <c r="M67" s="405">
        <v>10000</v>
      </c>
      <c r="N67" s="405"/>
      <c r="O67" s="405"/>
      <c r="P67" s="405"/>
      <c r="Q67" s="374"/>
      <c r="R67" s="375"/>
      <c r="S67" s="376"/>
      <c r="T67" s="376"/>
      <c r="U67" s="376"/>
      <c r="V67" s="376"/>
      <c r="W67" s="376"/>
      <c r="X67" s="376"/>
      <c r="Y67" s="376"/>
      <c r="Z67" s="376"/>
      <c r="AA67" s="376"/>
      <c r="AB67" s="376"/>
      <c r="AC67" s="376"/>
      <c r="AD67" s="376"/>
      <c r="AE67" s="376"/>
    </row>
    <row r="68" spans="1:31" s="306" customFormat="1" ht="18" customHeight="1" x14ac:dyDescent="0.3">
      <c r="A68" s="279">
        <v>59</v>
      </c>
      <c r="B68" s="300"/>
      <c r="C68" s="370"/>
      <c r="D68" s="370"/>
      <c r="E68" s="910" t="s">
        <v>966</v>
      </c>
      <c r="F68" s="372"/>
      <c r="G68" s="372"/>
      <c r="H68" s="372"/>
      <c r="I68" s="1331"/>
      <c r="J68" s="1033">
        <f t="shared" si="14"/>
        <v>192</v>
      </c>
      <c r="K68" s="405"/>
      <c r="L68" s="405"/>
      <c r="M68" s="405">
        <v>192</v>
      </c>
      <c r="N68" s="405"/>
      <c r="O68" s="405"/>
      <c r="P68" s="405"/>
      <c r="Q68" s="374"/>
      <c r="R68" s="375"/>
      <c r="S68" s="376"/>
      <c r="T68" s="376"/>
      <c r="U68" s="376"/>
      <c r="V68" s="376"/>
      <c r="W68" s="376"/>
      <c r="X68" s="376"/>
      <c r="Y68" s="376"/>
      <c r="Z68" s="376"/>
      <c r="AA68" s="376"/>
      <c r="AB68" s="376"/>
      <c r="AC68" s="376"/>
      <c r="AD68" s="376"/>
      <c r="AE68" s="376"/>
    </row>
    <row r="69" spans="1:31" s="306" customFormat="1" ht="18" customHeight="1" x14ac:dyDescent="0.3">
      <c r="A69" s="279">
        <v>60</v>
      </c>
      <c r="B69" s="300"/>
      <c r="C69" s="370"/>
      <c r="D69" s="370"/>
      <c r="E69" s="377" t="s">
        <v>858</v>
      </c>
      <c r="F69" s="372"/>
      <c r="G69" s="372"/>
      <c r="H69" s="372"/>
      <c r="I69" s="1331"/>
      <c r="J69" s="368">
        <f>SUM(K69:R69)</f>
        <v>2105502</v>
      </c>
      <c r="K69" s="1034">
        <f>SUM(K65:K68)</f>
        <v>1525003</v>
      </c>
      <c r="L69" s="1034">
        <f>SUM(L65:L68)</f>
        <v>224806</v>
      </c>
      <c r="M69" s="1034">
        <f>SUM(M65:M68)</f>
        <v>336183</v>
      </c>
      <c r="N69" s="1034"/>
      <c r="O69" s="1034"/>
      <c r="P69" s="1034">
        <f>SUM(P65:P68)</f>
        <v>19510</v>
      </c>
      <c r="Q69" s="374"/>
      <c r="R69" s="375"/>
      <c r="S69" s="376"/>
      <c r="T69" s="376"/>
      <c r="U69" s="376"/>
      <c r="V69" s="376"/>
      <c r="W69" s="376"/>
      <c r="X69" s="376"/>
      <c r="Y69" s="376"/>
      <c r="Z69" s="376"/>
      <c r="AA69" s="376"/>
      <c r="AB69" s="376"/>
      <c r="AC69" s="376"/>
      <c r="AD69" s="376"/>
      <c r="AE69" s="376"/>
    </row>
    <row r="70" spans="1:31" s="337" customFormat="1" ht="22.5" customHeight="1" x14ac:dyDescent="0.3">
      <c r="A70" s="279">
        <v>61</v>
      </c>
      <c r="B70" s="293">
        <v>8</v>
      </c>
      <c r="C70" s="366"/>
      <c r="D70" s="377" t="s">
        <v>97</v>
      </c>
      <c r="E70" s="377"/>
      <c r="F70" s="378" t="s">
        <v>23</v>
      </c>
      <c r="G70" s="296">
        <v>123896</v>
      </c>
      <c r="H70" s="296">
        <v>123176</v>
      </c>
      <c r="I70" s="1330">
        <v>144398</v>
      </c>
      <c r="J70" s="393"/>
      <c r="K70" s="296"/>
      <c r="L70" s="296"/>
      <c r="M70" s="296"/>
      <c r="N70" s="296"/>
      <c r="O70" s="296"/>
      <c r="P70" s="296"/>
      <c r="Q70" s="296"/>
      <c r="R70" s="369"/>
      <c r="S70" s="379"/>
      <c r="T70" s="379"/>
      <c r="U70" s="379"/>
      <c r="V70" s="379"/>
      <c r="W70" s="379"/>
      <c r="X70" s="379"/>
      <c r="Y70" s="379"/>
      <c r="Z70" s="379"/>
      <c r="AA70" s="379"/>
      <c r="AB70" s="379"/>
      <c r="AC70" s="379"/>
      <c r="AD70" s="379"/>
      <c r="AE70" s="379"/>
    </row>
    <row r="71" spans="1:31" s="318" customFormat="1" ht="18" customHeight="1" x14ac:dyDescent="0.3">
      <c r="A71" s="279">
        <v>62</v>
      </c>
      <c r="B71" s="394"/>
      <c r="C71" s="395"/>
      <c r="D71" s="395"/>
      <c r="E71" s="371" t="s">
        <v>245</v>
      </c>
      <c r="F71" s="396"/>
      <c r="G71" s="396"/>
      <c r="H71" s="396"/>
      <c r="I71" s="1331"/>
      <c r="J71" s="373">
        <f>SUM(K71:R71)</f>
        <v>130030</v>
      </c>
      <c r="K71" s="374">
        <v>76305</v>
      </c>
      <c r="L71" s="374">
        <v>10332</v>
      </c>
      <c r="M71" s="374">
        <v>42193</v>
      </c>
      <c r="N71" s="374"/>
      <c r="O71" s="374"/>
      <c r="P71" s="374">
        <v>1200</v>
      </c>
      <c r="Q71" s="374"/>
      <c r="R71" s="375"/>
      <c r="S71" s="380"/>
      <c r="T71" s="380"/>
      <c r="U71" s="380"/>
      <c r="V71" s="380"/>
      <c r="W71" s="380"/>
      <c r="X71" s="380"/>
      <c r="Y71" s="380"/>
      <c r="Z71" s="380"/>
      <c r="AA71" s="380"/>
      <c r="AB71" s="380"/>
      <c r="AC71" s="380"/>
      <c r="AD71" s="380"/>
      <c r="AE71" s="380"/>
    </row>
    <row r="72" spans="1:31" s="318" customFormat="1" ht="18" customHeight="1" x14ac:dyDescent="0.3">
      <c r="A72" s="279">
        <v>63</v>
      </c>
      <c r="B72" s="394"/>
      <c r="C72" s="395"/>
      <c r="D72" s="395"/>
      <c r="E72" s="377" t="s">
        <v>810</v>
      </c>
      <c r="F72" s="396"/>
      <c r="G72" s="396"/>
      <c r="H72" s="396"/>
      <c r="I72" s="1331"/>
      <c r="J72" s="368">
        <f>SUM(K72:R72)</f>
        <v>165018</v>
      </c>
      <c r="K72" s="1034">
        <v>102955</v>
      </c>
      <c r="L72" s="1034">
        <v>12316</v>
      </c>
      <c r="M72" s="1034">
        <v>48047</v>
      </c>
      <c r="N72" s="1034"/>
      <c r="O72" s="1034"/>
      <c r="P72" s="1034">
        <v>1700</v>
      </c>
      <c r="Q72" s="374"/>
      <c r="R72" s="375"/>
      <c r="S72" s="380"/>
      <c r="T72" s="380"/>
      <c r="U72" s="380"/>
      <c r="V72" s="380"/>
      <c r="W72" s="380"/>
      <c r="X72" s="380"/>
      <c r="Y72" s="380"/>
      <c r="Z72" s="380"/>
      <c r="AA72" s="380"/>
      <c r="AB72" s="380"/>
      <c r="AC72" s="380"/>
      <c r="AD72" s="380"/>
      <c r="AE72" s="380"/>
    </row>
    <row r="73" spans="1:31" s="318" customFormat="1" ht="18" customHeight="1" x14ac:dyDescent="0.3">
      <c r="A73" s="279">
        <v>64</v>
      </c>
      <c r="B73" s="394"/>
      <c r="C73" s="395"/>
      <c r="D73" s="395"/>
      <c r="E73" s="910" t="s">
        <v>887</v>
      </c>
      <c r="F73" s="396"/>
      <c r="G73" s="396"/>
      <c r="H73" s="396"/>
      <c r="I73" s="1331"/>
      <c r="J73" s="1033">
        <f>SUM(K73:R73)</f>
        <v>2423</v>
      </c>
      <c r="K73" s="405">
        <v>2144</v>
      </c>
      <c r="L73" s="405">
        <v>279</v>
      </c>
      <c r="M73" s="405"/>
      <c r="N73" s="405"/>
      <c r="O73" s="405"/>
      <c r="P73" s="405"/>
      <c r="Q73" s="374"/>
      <c r="R73" s="375"/>
      <c r="S73" s="380"/>
      <c r="T73" s="380"/>
      <c r="U73" s="380"/>
      <c r="V73" s="380"/>
      <c r="W73" s="380"/>
      <c r="X73" s="380"/>
      <c r="Y73" s="380"/>
      <c r="Z73" s="380"/>
      <c r="AA73" s="380"/>
      <c r="AB73" s="380"/>
      <c r="AC73" s="380"/>
      <c r="AD73" s="380"/>
      <c r="AE73" s="380"/>
    </row>
    <row r="74" spans="1:31" s="318" customFormat="1" ht="18" customHeight="1" x14ac:dyDescent="0.3">
      <c r="A74" s="279">
        <v>65</v>
      </c>
      <c r="B74" s="394"/>
      <c r="C74" s="395"/>
      <c r="D74" s="395"/>
      <c r="E74" s="910" t="s">
        <v>1000</v>
      </c>
      <c r="F74" s="396"/>
      <c r="G74" s="396"/>
      <c r="H74" s="396"/>
      <c r="I74" s="1331"/>
      <c r="J74" s="1033">
        <f t="shared" ref="J74" si="15">SUM(K74:R74)</f>
        <v>789</v>
      </c>
      <c r="K74" s="405">
        <v>698</v>
      </c>
      <c r="L74" s="405">
        <v>91</v>
      </c>
      <c r="M74" s="405"/>
      <c r="N74" s="405"/>
      <c r="O74" s="405"/>
      <c r="P74" s="405"/>
      <c r="Q74" s="374"/>
      <c r="R74" s="375"/>
      <c r="S74" s="380"/>
      <c r="T74" s="380"/>
      <c r="U74" s="380"/>
      <c r="V74" s="380"/>
      <c r="W74" s="380"/>
      <c r="X74" s="380"/>
      <c r="Y74" s="380"/>
      <c r="Z74" s="380"/>
      <c r="AA74" s="380"/>
      <c r="AB74" s="380"/>
      <c r="AC74" s="380"/>
      <c r="AD74" s="380"/>
      <c r="AE74" s="380"/>
    </row>
    <row r="75" spans="1:31" s="318" customFormat="1" ht="18" customHeight="1" x14ac:dyDescent="0.3">
      <c r="A75" s="279">
        <v>66</v>
      </c>
      <c r="B75" s="394"/>
      <c r="C75" s="395"/>
      <c r="D75" s="395"/>
      <c r="E75" s="377" t="s">
        <v>858</v>
      </c>
      <c r="F75" s="396"/>
      <c r="G75" s="396"/>
      <c r="H75" s="396"/>
      <c r="I75" s="1331"/>
      <c r="J75" s="368">
        <f>SUM(K75:R75)</f>
        <v>168230</v>
      </c>
      <c r="K75" s="1034">
        <f>SUM(K72:K74)</f>
        <v>105797</v>
      </c>
      <c r="L75" s="1034">
        <f>SUM(L72:L74)</f>
        <v>12686</v>
      </c>
      <c r="M75" s="1034">
        <f>SUM(M72:M74)</f>
        <v>48047</v>
      </c>
      <c r="N75" s="1034"/>
      <c r="O75" s="1034"/>
      <c r="P75" s="1034">
        <f>SUM(P72:P74)</f>
        <v>1700</v>
      </c>
      <c r="Q75" s="374"/>
      <c r="R75" s="375"/>
      <c r="S75" s="380"/>
      <c r="T75" s="380"/>
      <c r="U75" s="380"/>
      <c r="V75" s="380"/>
      <c r="W75" s="380"/>
      <c r="X75" s="380"/>
      <c r="Y75" s="380"/>
      <c r="Z75" s="380"/>
      <c r="AA75" s="380"/>
      <c r="AB75" s="380"/>
      <c r="AC75" s="380"/>
      <c r="AD75" s="380"/>
      <c r="AE75" s="380"/>
    </row>
    <row r="76" spans="1:31" s="337" customFormat="1" ht="22.5" customHeight="1" x14ac:dyDescent="0.3">
      <c r="A76" s="279">
        <v>67</v>
      </c>
      <c r="B76" s="293">
        <v>9</v>
      </c>
      <c r="C76" s="366"/>
      <c r="D76" s="377" t="s">
        <v>292</v>
      </c>
      <c r="E76" s="377"/>
      <c r="F76" s="378" t="s">
        <v>23</v>
      </c>
      <c r="G76" s="296">
        <v>433330</v>
      </c>
      <c r="H76" s="296">
        <v>411647</v>
      </c>
      <c r="I76" s="1330">
        <v>516711</v>
      </c>
      <c r="J76" s="393"/>
      <c r="K76" s="296"/>
      <c r="L76" s="296"/>
      <c r="M76" s="296"/>
      <c r="N76" s="296"/>
      <c r="O76" s="296"/>
      <c r="P76" s="296"/>
      <c r="Q76" s="296"/>
      <c r="R76" s="369"/>
      <c r="S76" s="379"/>
      <c r="T76" s="379"/>
      <c r="U76" s="379"/>
      <c r="V76" s="379"/>
      <c r="W76" s="379"/>
      <c r="X76" s="379"/>
      <c r="Y76" s="379"/>
      <c r="Z76" s="379"/>
      <c r="AA76" s="379"/>
      <c r="AB76" s="379"/>
      <c r="AC76" s="379"/>
      <c r="AD76" s="379"/>
      <c r="AE76" s="379"/>
    </row>
    <row r="77" spans="1:31" s="318" customFormat="1" ht="18" customHeight="1" x14ac:dyDescent="0.3">
      <c r="A77" s="279">
        <v>68</v>
      </c>
      <c r="B77" s="394"/>
      <c r="C77" s="397"/>
      <c r="D77" s="397"/>
      <c r="E77" s="371" t="s">
        <v>245</v>
      </c>
      <c r="F77" s="398"/>
      <c r="G77" s="398"/>
      <c r="H77" s="398"/>
      <c r="I77" s="1334"/>
      <c r="J77" s="399">
        <f>SUM(K77:R77)</f>
        <v>454370</v>
      </c>
      <c r="K77" s="400">
        <v>346236</v>
      </c>
      <c r="L77" s="400">
        <v>53765</v>
      </c>
      <c r="M77" s="400">
        <v>52819</v>
      </c>
      <c r="N77" s="400"/>
      <c r="O77" s="400"/>
      <c r="P77" s="400">
        <v>1550</v>
      </c>
      <c r="Q77" s="400"/>
      <c r="R77" s="401"/>
      <c r="S77" s="380"/>
      <c r="T77" s="380"/>
      <c r="U77" s="380"/>
      <c r="V77" s="380"/>
      <c r="W77" s="380"/>
      <c r="X77" s="380"/>
      <c r="Y77" s="380"/>
      <c r="Z77" s="380"/>
      <c r="AA77" s="380"/>
      <c r="AB77" s="380"/>
      <c r="AC77" s="380"/>
      <c r="AD77" s="380"/>
      <c r="AE77" s="380"/>
    </row>
    <row r="78" spans="1:31" s="318" customFormat="1" ht="18" customHeight="1" x14ac:dyDescent="0.3">
      <c r="A78" s="279">
        <v>69</v>
      </c>
      <c r="B78" s="394"/>
      <c r="C78" s="397"/>
      <c r="D78" s="397"/>
      <c r="E78" s="377" t="s">
        <v>810</v>
      </c>
      <c r="F78" s="398"/>
      <c r="G78" s="398"/>
      <c r="H78" s="398"/>
      <c r="I78" s="1334"/>
      <c r="J78" s="1474">
        <f>SUM(K78:R78)</f>
        <v>532793</v>
      </c>
      <c r="K78" s="1043">
        <v>400092</v>
      </c>
      <c r="L78" s="1043">
        <v>62727</v>
      </c>
      <c r="M78" s="1043">
        <v>65974</v>
      </c>
      <c r="N78" s="1043"/>
      <c r="O78" s="1043"/>
      <c r="P78" s="1043">
        <v>2500</v>
      </c>
      <c r="Q78" s="1043">
        <v>1500</v>
      </c>
      <c r="R78" s="401"/>
      <c r="S78" s="380"/>
      <c r="T78" s="380"/>
      <c r="U78" s="380"/>
      <c r="V78" s="380"/>
      <c r="W78" s="380"/>
      <c r="X78" s="380"/>
      <c r="Y78" s="380"/>
      <c r="Z78" s="380"/>
      <c r="AA78" s="380"/>
      <c r="AB78" s="380"/>
      <c r="AC78" s="380"/>
      <c r="AD78" s="380"/>
      <c r="AE78" s="380"/>
    </row>
    <row r="79" spans="1:31" s="318" customFormat="1" ht="18" customHeight="1" x14ac:dyDescent="0.3">
      <c r="A79" s="279">
        <v>70</v>
      </c>
      <c r="B79" s="394"/>
      <c r="C79" s="397"/>
      <c r="D79" s="397"/>
      <c r="E79" s="910" t="s">
        <v>887</v>
      </c>
      <c r="F79" s="398"/>
      <c r="G79" s="398"/>
      <c r="H79" s="398"/>
      <c r="I79" s="1334"/>
      <c r="J79" s="1033">
        <f>SUM(K79:R79)</f>
        <v>16373</v>
      </c>
      <c r="K79" s="1321">
        <v>14489</v>
      </c>
      <c r="L79" s="1321">
        <v>1884</v>
      </c>
      <c r="M79" s="1321"/>
      <c r="N79" s="1321"/>
      <c r="O79" s="1321"/>
      <c r="P79" s="1321"/>
      <c r="Q79" s="400"/>
      <c r="R79" s="401"/>
      <c r="S79" s="380"/>
      <c r="T79" s="380"/>
      <c r="U79" s="380"/>
      <c r="V79" s="380"/>
      <c r="W79" s="380"/>
      <c r="X79" s="380"/>
      <c r="Y79" s="380"/>
      <c r="Z79" s="380"/>
      <c r="AA79" s="380"/>
      <c r="AB79" s="380"/>
      <c r="AC79" s="380"/>
      <c r="AD79" s="380"/>
      <c r="AE79" s="380"/>
    </row>
    <row r="80" spans="1:31" s="318" customFormat="1" ht="18" customHeight="1" x14ac:dyDescent="0.3">
      <c r="A80" s="279">
        <v>71</v>
      </c>
      <c r="B80" s="394"/>
      <c r="C80" s="397"/>
      <c r="D80" s="397"/>
      <c r="E80" s="910" t="s">
        <v>911</v>
      </c>
      <c r="F80" s="398"/>
      <c r="G80" s="398"/>
      <c r="H80" s="398"/>
      <c r="I80" s="1334"/>
      <c r="J80" s="1033">
        <f t="shared" ref="J80:J81" si="16">SUM(K80:R80)</f>
        <v>100</v>
      </c>
      <c r="K80" s="1321"/>
      <c r="L80" s="1321"/>
      <c r="M80" s="1321">
        <v>100</v>
      </c>
      <c r="N80" s="1321"/>
      <c r="O80" s="1321"/>
      <c r="P80" s="1321"/>
      <c r="Q80" s="400"/>
      <c r="R80" s="401"/>
      <c r="S80" s="380"/>
      <c r="T80" s="380"/>
      <c r="U80" s="380"/>
      <c r="V80" s="380"/>
      <c r="W80" s="380"/>
      <c r="X80" s="380"/>
      <c r="Y80" s="380"/>
      <c r="Z80" s="380"/>
      <c r="AA80" s="380"/>
      <c r="AB80" s="380"/>
      <c r="AC80" s="380"/>
      <c r="AD80" s="380"/>
      <c r="AE80" s="380"/>
    </row>
    <row r="81" spans="1:31" s="318" customFormat="1" ht="18" customHeight="1" x14ac:dyDescent="0.3">
      <c r="A81" s="279">
        <v>72</v>
      </c>
      <c r="B81" s="394"/>
      <c r="C81" s="397"/>
      <c r="D81" s="397"/>
      <c r="E81" s="910" t="s">
        <v>912</v>
      </c>
      <c r="F81" s="398"/>
      <c r="G81" s="398"/>
      <c r="H81" s="398"/>
      <c r="I81" s="1334"/>
      <c r="J81" s="1033">
        <f t="shared" si="16"/>
        <v>0</v>
      </c>
      <c r="K81" s="1321"/>
      <c r="L81" s="1321"/>
      <c r="M81" s="1321">
        <v>-70</v>
      </c>
      <c r="N81" s="1321"/>
      <c r="O81" s="1321" t="s">
        <v>889</v>
      </c>
      <c r="P81" s="1321">
        <v>70</v>
      </c>
      <c r="Q81" s="400"/>
      <c r="R81" s="401"/>
      <c r="S81" s="380"/>
      <c r="T81" s="380"/>
      <c r="U81" s="380"/>
      <c r="V81" s="380"/>
      <c r="W81" s="380"/>
      <c r="X81" s="380"/>
      <c r="Y81" s="380"/>
      <c r="Z81" s="380"/>
      <c r="AA81" s="380"/>
      <c r="AB81" s="380"/>
      <c r="AC81" s="380"/>
      <c r="AD81" s="380"/>
      <c r="AE81" s="380"/>
    </row>
    <row r="82" spans="1:31" s="318" customFormat="1" ht="18" customHeight="1" x14ac:dyDescent="0.3">
      <c r="A82" s="279">
        <v>73</v>
      </c>
      <c r="B82" s="394"/>
      <c r="C82" s="397"/>
      <c r="D82" s="397"/>
      <c r="E82" s="377" t="s">
        <v>858</v>
      </c>
      <c r="F82" s="398"/>
      <c r="G82" s="398"/>
      <c r="H82" s="398"/>
      <c r="I82" s="1334"/>
      <c r="J82" s="368">
        <f>SUM(K82:R82)</f>
        <v>549266</v>
      </c>
      <c r="K82" s="1043">
        <f>SUM(K78:K81)</f>
        <v>414581</v>
      </c>
      <c r="L82" s="1043">
        <f>SUM(L78:L81)</f>
        <v>64611</v>
      </c>
      <c r="M82" s="1043">
        <f>SUM(M78:M81)</f>
        <v>66004</v>
      </c>
      <c r="N82" s="1043"/>
      <c r="O82" s="1043"/>
      <c r="P82" s="1043">
        <f>SUM(P78:P81)</f>
        <v>2570</v>
      </c>
      <c r="Q82" s="1043">
        <f>SUM(Q78:Q81)</f>
        <v>1500</v>
      </c>
      <c r="R82" s="1482"/>
      <c r="S82" s="380"/>
      <c r="T82" s="380"/>
      <c r="U82" s="380"/>
      <c r="V82" s="380"/>
      <c r="W82" s="380"/>
      <c r="X82" s="380"/>
      <c r="Y82" s="380"/>
      <c r="Z82" s="380"/>
      <c r="AA82" s="380"/>
      <c r="AB82" s="380"/>
      <c r="AC82" s="380"/>
      <c r="AD82" s="380"/>
      <c r="AE82" s="380"/>
    </row>
    <row r="83" spans="1:31" s="337" customFormat="1" ht="23.1" customHeight="1" x14ac:dyDescent="0.3">
      <c r="A83" s="279">
        <v>74</v>
      </c>
      <c r="B83" s="340"/>
      <c r="C83" s="366">
        <v>2</v>
      </c>
      <c r="D83" s="403" t="s">
        <v>383</v>
      </c>
      <c r="E83" s="403"/>
      <c r="F83" s="404"/>
      <c r="G83" s="296">
        <v>21263</v>
      </c>
      <c r="H83" s="296">
        <v>5948</v>
      </c>
      <c r="I83" s="1330">
        <v>13792</v>
      </c>
      <c r="J83" s="393"/>
      <c r="K83" s="382"/>
      <c r="L83" s="382"/>
      <c r="M83" s="382"/>
      <c r="N83" s="405"/>
      <c r="O83" s="405"/>
      <c r="P83" s="405"/>
      <c r="Q83" s="405"/>
      <c r="R83" s="406"/>
      <c r="S83" s="379"/>
      <c r="T83" s="379"/>
      <c r="U83" s="379"/>
      <c r="V83" s="379"/>
      <c r="W83" s="379"/>
      <c r="X83" s="379"/>
      <c r="Y83" s="379"/>
      <c r="Z83" s="379"/>
      <c r="AA83" s="379"/>
      <c r="AB83" s="379"/>
      <c r="AC83" s="379"/>
      <c r="AD83" s="379"/>
      <c r="AE83" s="379"/>
    </row>
    <row r="84" spans="1:31" s="337" customFormat="1" ht="18" customHeight="1" x14ac:dyDescent="0.3">
      <c r="A84" s="279">
        <v>75</v>
      </c>
      <c r="B84" s="340"/>
      <c r="C84" s="407"/>
      <c r="D84" s="558"/>
      <c r="E84" s="371" t="s">
        <v>245</v>
      </c>
      <c r="F84" s="408"/>
      <c r="G84" s="290"/>
      <c r="H84" s="290"/>
      <c r="I84" s="1329"/>
      <c r="J84" s="399">
        <f>SUM(K84:R84)</f>
        <v>5656</v>
      </c>
      <c r="K84" s="400"/>
      <c r="L84" s="400"/>
      <c r="M84" s="400">
        <v>5656</v>
      </c>
      <c r="N84" s="400"/>
      <c r="O84" s="400"/>
      <c r="P84" s="400"/>
      <c r="Q84" s="400"/>
      <c r="R84" s="401"/>
      <c r="S84" s="379"/>
      <c r="T84" s="379"/>
      <c r="U84" s="379"/>
      <c r="V84" s="379"/>
      <c r="W84" s="379"/>
      <c r="X84" s="379"/>
      <c r="Y84" s="379"/>
      <c r="Z84" s="379"/>
      <c r="AA84" s="379"/>
      <c r="AB84" s="379"/>
      <c r="AC84" s="379"/>
      <c r="AD84" s="379"/>
      <c r="AE84" s="379"/>
    </row>
    <row r="85" spans="1:31" s="337" customFormat="1" ht="18" customHeight="1" x14ac:dyDescent="0.3">
      <c r="A85" s="279">
        <v>76</v>
      </c>
      <c r="B85" s="340"/>
      <c r="C85" s="407"/>
      <c r="D85" s="558"/>
      <c r="E85" s="377" t="s">
        <v>810</v>
      </c>
      <c r="F85" s="408"/>
      <c r="G85" s="290"/>
      <c r="H85" s="290"/>
      <c r="I85" s="1329"/>
      <c r="J85" s="1474">
        <f>SUM(K85:R85)</f>
        <v>7656</v>
      </c>
      <c r="K85" s="1043"/>
      <c r="L85" s="1043"/>
      <c r="M85" s="1043">
        <v>7656</v>
      </c>
      <c r="N85" s="400"/>
      <c r="O85" s="400"/>
      <c r="P85" s="400"/>
      <c r="Q85" s="400"/>
      <c r="R85" s="401"/>
      <c r="S85" s="379"/>
      <c r="T85" s="379"/>
      <c r="U85" s="379"/>
      <c r="V85" s="379"/>
      <c r="W85" s="379"/>
      <c r="X85" s="379"/>
      <c r="Y85" s="379"/>
      <c r="Z85" s="379"/>
      <c r="AA85" s="379"/>
      <c r="AB85" s="379"/>
      <c r="AC85" s="379"/>
      <c r="AD85" s="379"/>
      <c r="AE85" s="379"/>
    </row>
    <row r="86" spans="1:31" s="337" customFormat="1" ht="18" customHeight="1" x14ac:dyDescent="0.3">
      <c r="A86" s="279">
        <v>77</v>
      </c>
      <c r="B86" s="340"/>
      <c r="C86" s="407"/>
      <c r="D86" s="403"/>
      <c r="E86" s="910" t="s">
        <v>857</v>
      </c>
      <c r="F86" s="408"/>
      <c r="G86" s="290"/>
      <c r="H86" s="290"/>
      <c r="I86" s="1329"/>
      <c r="J86" s="1033">
        <f>SUM(K86:R86)</f>
        <v>0</v>
      </c>
      <c r="K86" s="374"/>
      <c r="L86" s="374"/>
      <c r="M86" s="405"/>
      <c r="N86" s="374"/>
      <c r="O86" s="374"/>
      <c r="P86" s="374"/>
      <c r="Q86" s="374"/>
      <c r="R86" s="375"/>
      <c r="S86" s="379"/>
      <c r="T86" s="379"/>
      <c r="U86" s="379"/>
      <c r="V86" s="379"/>
      <c r="W86" s="379"/>
      <c r="X86" s="379"/>
      <c r="Y86" s="379"/>
      <c r="Z86" s="379"/>
      <c r="AA86" s="379"/>
      <c r="AB86" s="379"/>
      <c r="AC86" s="379"/>
      <c r="AD86" s="379"/>
      <c r="AE86" s="379"/>
    </row>
    <row r="87" spans="1:31" s="337" customFormat="1" ht="18" customHeight="1" thickBot="1" x14ac:dyDescent="0.35">
      <c r="A87" s="279">
        <v>78</v>
      </c>
      <c r="B87" s="340"/>
      <c r="C87" s="407"/>
      <c r="D87" s="1042"/>
      <c r="E87" s="377" t="s">
        <v>858</v>
      </c>
      <c r="F87" s="408"/>
      <c r="G87" s="290"/>
      <c r="H87" s="290"/>
      <c r="I87" s="1329"/>
      <c r="J87" s="368">
        <f>SUM(K87:R87)</f>
        <v>7656</v>
      </c>
      <c r="K87" s="1024"/>
      <c r="L87" s="1024"/>
      <c r="M87" s="1044">
        <f>SUM(M85:M86)</f>
        <v>7656</v>
      </c>
      <c r="N87" s="1024"/>
      <c r="O87" s="1024"/>
      <c r="P87" s="1024"/>
      <c r="Q87" s="1024"/>
      <c r="R87" s="1025"/>
      <c r="S87" s="379"/>
      <c r="T87" s="379"/>
      <c r="U87" s="379"/>
      <c r="V87" s="379"/>
      <c r="W87" s="379"/>
      <c r="X87" s="379"/>
      <c r="Y87" s="379"/>
      <c r="Z87" s="379"/>
      <c r="AA87" s="379"/>
      <c r="AB87" s="379"/>
      <c r="AC87" s="379"/>
      <c r="AD87" s="379"/>
      <c r="AE87" s="379"/>
    </row>
    <row r="88" spans="1:31" s="413" customFormat="1" ht="22.5" customHeight="1" thickTop="1" x14ac:dyDescent="0.2">
      <c r="A88" s="279">
        <v>79</v>
      </c>
      <c r="B88" s="384"/>
      <c r="C88" s="1868" t="s">
        <v>312</v>
      </c>
      <c r="D88" s="1869"/>
      <c r="E88" s="1870"/>
      <c r="F88" s="409"/>
      <c r="G88" s="385">
        <f>SUM(G63:G84)</f>
        <v>2281977</v>
      </c>
      <c r="H88" s="385">
        <f>SUM(H63:H84)</f>
        <v>2366254</v>
      </c>
      <c r="I88" s="1333">
        <f>SUM(I63:I84)</f>
        <v>2640247</v>
      </c>
      <c r="J88" s="386"/>
      <c r="K88" s="410"/>
      <c r="L88" s="410"/>
      <c r="M88" s="410"/>
      <c r="N88" s="410"/>
      <c r="O88" s="410"/>
      <c r="P88" s="410"/>
      <c r="Q88" s="410"/>
      <c r="R88" s="411"/>
      <c r="S88" s="388"/>
      <c r="T88" s="412"/>
      <c r="U88" s="412"/>
      <c r="V88" s="412"/>
      <c r="W88" s="412"/>
      <c r="X88" s="412"/>
      <c r="Y88" s="412"/>
      <c r="Z88" s="412"/>
      <c r="AA88" s="412"/>
      <c r="AB88" s="412"/>
      <c r="AC88" s="412"/>
      <c r="AD88" s="412"/>
      <c r="AE88" s="412"/>
    </row>
    <row r="89" spans="1:31" s="318" customFormat="1" ht="18" customHeight="1" x14ac:dyDescent="0.3">
      <c r="A89" s="279">
        <v>80</v>
      </c>
      <c r="B89" s="394"/>
      <c r="C89" s="1040"/>
      <c r="D89" s="397"/>
      <c r="E89" s="353" t="s">
        <v>245</v>
      </c>
      <c r="F89" s="398"/>
      <c r="G89" s="398"/>
      <c r="H89" s="398"/>
      <c r="I89" s="1334"/>
      <c r="J89" s="399">
        <f>SUM(K89:R89)</f>
        <v>2573157</v>
      </c>
      <c r="K89" s="400">
        <f t="shared" ref="K89:R90" si="17">SUM(K64,K71,K77,K84)</f>
        <v>1881871</v>
      </c>
      <c r="L89" s="400">
        <f t="shared" si="17"/>
        <v>280234</v>
      </c>
      <c r="M89" s="400">
        <f t="shared" si="17"/>
        <v>405968</v>
      </c>
      <c r="N89" s="400">
        <f t="shared" si="17"/>
        <v>0</v>
      </c>
      <c r="O89" s="400">
        <f t="shared" si="17"/>
        <v>0</v>
      </c>
      <c r="P89" s="400">
        <f t="shared" si="17"/>
        <v>5084</v>
      </c>
      <c r="Q89" s="400">
        <f t="shared" si="17"/>
        <v>0</v>
      </c>
      <c r="R89" s="401">
        <f t="shared" si="17"/>
        <v>0</v>
      </c>
      <c r="S89" s="380"/>
      <c r="T89" s="380"/>
      <c r="U89" s="380"/>
      <c r="V89" s="380"/>
      <c r="W89" s="380"/>
      <c r="X89" s="380"/>
      <c r="Y89" s="380"/>
      <c r="Z89" s="380"/>
      <c r="AA89" s="380"/>
      <c r="AB89" s="380"/>
      <c r="AC89" s="380"/>
      <c r="AD89" s="380"/>
      <c r="AE89" s="380"/>
    </row>
    <row r="90" spans="1:31" s="318" customFormat="1" ht="18" customHeight="1" x14ac:dyDescent="0.3">
      <c r="A90" s="279">
        <v>81</v>
      </c>
      <c r="B90" s="1036"/>
      <c r="C90" s="1040"/>
      <c r="D90" s="397"/>
      <c r="E90" s="377" t="s">
        <v>810</v>
      </c>
      <c r="F90" s="398"/>
      <c r="G90" s="398"/>
      <c r="H90" s="398"/>
      <c r="I90" s="1334"/>
      <c r="J90" s="1474">
        <f>SUM(K90:R90)</f>
        <v>2772754</v>
      </c>
      <c r="K90" s="1043">
        <f t="shared" si="17"/>
        <v>2002471</v>
      </c>
      <c r="L90" s="1043">
        <f t="shared" si="17"/>
        <v>297405</v>
      </c>
      <c r="M90" s="1043">
        <f t="shared" si="17"/>
        <v>447668</v>
      </c>
      <c r="N90" s="1043">
        <f t="shared" si="17"/>
        <v>0</v>
      </c>
      <c r="O90" s="1043">
        <f t="shared" si="17"/>
        <v>0</v>
      </c>
      <c r="P90" s="1043">
        <f t="shared" si="17"/>
        <v>23710</v>
      </c>
      <c r="Q90" s="1043">
        <f t="shared" si="17"/>
        <v>1500</v>
      </c>
      <c r="R90" s="1482">
        <f t="shared" si="17"/>
        <v>0</v>
      </c>
      <c r="S90" s="380"/>
      <c r="T90" s="380"/>
      <c r="U90" s="380"/>
      <c r="V90" s="380"/>
      <c r="W90" s="380"/>
      <c r="X90" s="380"/>
      <c r="Y90" s="380"/>
      <c r="Z90" s="380"/>
      <c r="AA90" s="380"/>
      <c r="AB90" s="380"/>
      <c r="AC90" s="380"/>
      <c r="AD90" s="380"/>
      <c r="AE90" s="380"/>
    </row>
    <row r="91" spans="1:31" s="318" customFormat="1" ht="18" customHeight="1" x14ac:dyDescent="0.3">
      <c r="A91" s="279">
        <v>82</v>
      </c>
      <c r="B91" s="1036"/>
      <c r="C91" s="1041"/>
      <c r="D91" s="395"/>
      <c r="E91" s="910" t="s">
        <v>652</v>
      </c>
      <c r="F91" s="396"/>
      <c r="G91" s="396"/>
      <c r="H91" s="396"/>
      <c r="I91" s="1331"/>
      <c r="J91" s="1033">
        <f>SUM(K91:R91)</f>
        <v>57900</v>
      </c>
      <c r="K91" s="1321">
        <f t="shared" ref="K91:N91" si="18">SUM(K66,K73,K79,K86,K67,K68,K74,K80,K81)</f>
        <v>42910</v>
      </c>
      <c r="L91" s="1321">
        <f t="shared" si="18"/>
        <v>4698</v>
      </c>
      <c r="M91" s="1321">
        <f t="shared" si="18"/>
        <v>10222</v>
      </c>
      <c r="N91" s="1321">
        <f t="shared" si="18"/>
        <v>0</v>
      </c>
      <c r="O91" s="1321">
        <f>SUM(O66,O73,O79,O86,O67,O68,O74,O80,O81)</f>
        <v>0</v>
      </c>
      <c r="P91" s="1321">
        <f t="shared" ref="P91:R91" si="19">SUM(P66,P73,P79,P86,P67,P68,P74,P80,P81)</f>
        <v>70</v>
      </c>
      <c r="Q91" s="1321">
        <f t="shared" si="19"/>
        <v>0</v>
      </c>
      <c r="R91" s="1819">
        <f t="shared" si="19"/>
        <v>0</v>
      </c>
      <c r="S91" s="380"/>
      <c r="T91" s="380"/>
      <c r="U91" s="380"/>
      <c r="V91" s="380"/>
      <c r="W91" s="380"/>
      <c r="X91" s="380"/>
      <c r="Y91" s="380"/>
      <c r="Z91" s="380"/>
      <c r="AA91" s="380"/>
      <c r="AB91" s="380"/>
      <c r="AC91" s="380"/>
      <c r="AD91" s="380"/>
      <c r="AE91" s="380"/>
    </row>
    <row r="92" spans="1:31" s="318" customFormat="1" ht="18" customHeight="1" thickBot="1" x14ac:dyDescent="0.35">
      <c r="A92" s="279">
        <v>83</v>
      </c>
      <c r="B92" s="1036"/>
      <c r="C92" s="414"/>
      <c r="D92" s="415"/>
      <c r="E92" s="911" t="s">
        <v>858</v>
      </c>
      <c r="F92" s="416"/>
      <c r="G92" s="416"/>
      <c r="H92" s="416"/>
      <c r="I92" s="1336"/>
      <c r="J92" s="919">
        <f>SUM(K92:R92)</f>
        <v>2830654</v>
      </c>
      <c r="K92" s="1045">
        <f>SUM(K90:K91)</f>
        <v>2045381</v>
      </c>
      <c r="L92" s="1045">
        <f t="shared" ref="L92:R92" si="20">SUM(L90:L91)</f>
        <v>302103</v>
      </c>
      <c r="M92" s="1045">
        <f t="shared" si="20"/>
        <v>457890</v>
      </c>
      <c r="N92" s="1045">
        <f t="shared" si="20"/>
        <v>0</v>
      </c>
      <c r="O92" s="1045">
        <f>SUM(O90:O91)</f>
        <v>0</v>
      </c>
      <c r="P92" s="1045">
        <f t="shared" si="20"/>
        <v>23780</v>
      </c>
      <c r="Q92" s="1045">
        <f t="shared" si="20"/>
        <v>1500</v>
      </c>
      <c r="R92" s="1081">
        <f t="shared" si="20"/>
        <v>0</v>
      </c>
      <c r="S92" s="380"/>
      <c r="T92" s="380"/>
      <c r="U92" s="380"/>
      <c r="V92" s="380"/>
      <c r="W92" s="380"/>
      <c r="X92" s="380"/>
      <c r="Y92" s="380"/>
      <c r="Z92" s="380"/>
      <c r="AA92" s="380"/>
      <c r="AB92" s="380"/>
      <c r="AC92" s="380"/>
      <c r="AD92" s="380"/>
      <c r="AE92" s="380"/>
    </row>
    <row r="93" spans="1:31" s="283" customFormat="1" ht="22.5" customHeight="1" thickTop="1" x14ac:dyDescent="0.3">
      <c r="A93" s="279">
        <v>84</v>
      </c>
      <c r="B93" s="286">
        <v>10</v>
      </c>
      <c r="C93" s="361"/>
      <c r="D93" s="362" t="s">
        <v>294</v>
      </c>
      <c r="E93" s="391"/>
      <c r="F93" s="363" t="s">
        <v>23</v>
      </c>
      <c r="G93" s="290">
        <v>499778</v>
      </c>
      <c r="H93" s="290">
        <v>421845</v>
      </c>
      <c r="I93" s="1329">
        <v>411069</v>
      </c>
      <c r="J93" s="392"/>
      <c r="K93" s="290"/>
      <c r="L93" s="290"/>
      <c r="M93" s="290"/>
      <c r="N93" s="290"/>
      <c r="O93" s="290"/>
      <c r="P93" s="290"/>
      <c r="Q93" s="290"/>
      <c r="R93" s="365"/>
      <c r="S93" s="381"/>
      <c r="T93" s="381"/>
      <c r="U93" s="381"/>
      <c r="V93" s="381"/>
      <c r="W93" s="381"/>
      <c r="X93" s="381"/>
      <c r="Y93" s="381"/>
      <c r="Z93" s="381"/>
      <c r="AA93" s="381"/>
      <c r="AB93" s="381"/>
      <c r="AC93" s="381"/>
      <c r="AD93" s="381"/>
      <c r="AE93" s="381"/>
    </row>
    <row r="94" spans="1:31" s="318" customFormat="1" ht="18" customHeight="1" x14ac:dyDescent="0.3">
      <c r="A94" s="279">
        <v>85</v>
      </c>
      <c r="B94" s="394"/>
      <c r="C94" s="395"/>
      <c r="D94" s="395"/>
      <c r="E94" s="371" t="s">
        <v>245</v>
      </c>
      <c r="F94" s="396"/>
      <c r="G94" s="396"/>
      <c r="H94" s="396"/>
      <c r="I94" s="1331"/>
      <c r="J94" s="373">
        <f>SUM(K94:R94)</f>
        <v>388211</v>
      </c>
      <c r="K94" s="374">
        <v>160958</v>
      </c>
      <c r="L94" s="374">
        <v>22098</v>
      </c>
      <c r="M94" s="374">
        <v>205155</v>
      </c>
      <c r="N94" s="374"/>
      <c r="O94" s="374"/>
      <c r="P94" s="374"/>
      <c r="Q94" s="374"/>
      <c r="R94" s="375"/>
      <c r="S94" s="380"/>
      <c r="T94" s="380"/>
      <c r="U94" s="380"/>
      <c r="V94" s="380"/>
      <c r="W94" s="380"/>
      <c r="X94" s="380"/>
      <c r="Y94" s="380"/>
      <c r="Z94" s="380"/>
      <c r="AA94" s="380"/>
      <c r="AB94" s="380"/>
      <c r="AC94" s="380"/>
      <c r="AD94" s="380"/>
      <c r="AE94" s="380"/>
    </row>
    <row r="95" spans="1:31" s="318" customFormat="1" ht="18" customHeight="1" x14ac:dyDescent="0.3">
      <c r="A95" s="279">
        <v>86</v>
      </c>
      <c r="B95" s="394"/>
      <c r="C95" s="395"/>
      <c r="D95" s="1046"/>
      <c r="E95" s="377" t="s">
        <v>810</v>
      </c>
      <c r="F95" s="396"/>
      <c r="G95" s="396"/>
      <c r="H95" s="396"/>
      <c r="I95" s="1331"/>
      <c r="J95" s="368">
        <f>SUM(K95:R95)</f>
        <v>520251</v>
      </c>
      <c r="K95" s="1034">
        <v>191600</v>
      </c>
      <c r="L95" s="1034">
        <v>26787</v>
      </c>
      <c r="M95" s="1034">
        <v>282664</v>
      </c>
      <c r="N95" s="1034"/>
      <c r="O95" s="1034"/>
      <c r="P95" s="1034">
        <v>19200</v>
      </c>
      <c r="Q95" s="374"/>
      <c r="R95" s="375"/>
      <c r="S95" s="380"/>
      <c r="T95" s="380"/>
      <c r="U95" s="380"/>
      <c r="V95" s="380"/>
      <c r="W95" s="380"/>
      <c r="X95" s="380"/>
      <c r="Y95" s="380"/>
      <c r="Z95" s="380"/>
      <c r="AA95" s="380"/>
      <c r="AB95" s="380"/>
      <c r="AC95" s="380"/>
      <c r="AD95" s="380"/>
      <c r="AE95" s="380"/>
    </row>
    <row r="96" spans="1:31" s="318" customFormat="1" ht="18" customHeight="1" x14ac:dyDescent="0.3">
      <c r="A96" s="279">
        <v>87</v>
      </c>
      <c r="B96" s="394"/>
      <c r="C96" s="395"/>
      <c r="D96" s="1046"/>
      <c r="E96" s="910" t="s">
        <v>937</v>
      </c>
      <c r="F96" s="396"/>
      <c r="G96" s="396"/>
      <c r="H96" s="396"/>
      <c r="I96" s="1331"/>
      <c r="J96" s="1033">
        <f>SUM(K96:R96)</f>
        <v>5600</v>
      </c>
      <c r="K96" s="405"/>
      <c r="L96" s="405"/>
      <c r="M96" s="405"/>
      <c r="N96" s="405"/>
      <c r="O96" s="405"/>
      <c r="P96" s="405">
        <v>5600</v>
      </c>
      <c r="Q96" s="374"/>
      <c r="R96" s="375"/>
      <c r="S96" s="380"/>
      <c r="T96" s="380"/>
      <c r="U96" s="380"/>
      <c r="V96" s="380"/>
      <c r="W96" s="380"/>
      <c r="X96" s="380"/>
      <c r="Y96" s="380"/>
      <c r="Z96" s="380"/>
      <c r="AA96" s="380"/>
      <c r="AB96" s="380"/>
      <c r="AC96" s="380"/>
      <c r="AD96" s="380"/>
      <c r="AE96" s="380"/>
    </row>
    <row r="97" spans="1:31" s="318" customFormat="1" ht="18" customHeight="1" x14ac:dyDescent="0.3">
      <c r="A97" s="279">
        <v>88</v>
      </c>
      <c r="B97" s="394"/>
      <c r="C97" s="395"/>
      <c r="D97" s="1046"/>
      <c r="E97" s="910" t="s">
        <v>330</v>
      </c>
      <c r="F97" s="396"/>
      <c r="G97" s="396"/>
      <c r="H97" s="396"/>
      <c r="I97" s="1331"/>
      <c r="J97" s="1033">
        <f t="shared" ref="J97:J101" si="21">SUM(K97:R97)</f>
        <v>3000</v>
      </c>
      <c r="K97" s="405"/>
      <c r="L97" s="405"/>
      <c r="M97" s="405">
        <v>3000</v>
      </c>
      <c r="N97" s="405"/>
      <c r="O97" s="405"/>
      <c r="P97" s="405"/>
      <c r="Q97" s="374"/>
      <c r="R97" s="375"/>
      <c r="S97" s="380"/>
      <c r="T97" s="380"/>
      <c r="U97" s="380"/>
      <c r="V97" s="380"/>
      <c r="W97" s="380"/>
      <c r="X97" s="380"/>
      <c r="Y97" s="380"/>
      <c r="Z97" s="380"/>
      <c r="AA97" s="380"/>
      <c r="AB97" s="380"/>
      <c r="AC97" s="380"/>
      <c r="AD97" s="380"/>
      <c r="AE97" s="380"/>
    </row>
    <row r="98" spans="1:31" s="318" customFormat="1" ht="18" customHeight="1" x14ac:dyDescent="0.3">
      <c r="A98" s="279">
        <v>89</v>
      </c>
      <c r="B98" s="394"/>
      <c r="C98" s="395"/>
      <c r="D98" s="1046"/>
      <c r="E98" s="910" t="s">
        <v>1043</v>
      </c>
      <c r="F98" s="396"/>
      <c r="G98" s="396"/>
      <c r="H98" s="396"/>
      <c r="I98" s="1331"/>
      <c r="J98" s="1033">
        <f t="shared" si="21"/>
        <v>100</v>
      </c>
      <c r="K98" s="405"/>
      <c r="L98" s="405"/>
      <c r="M98" s="405">
        <v>100</v>
      </c>
      <c r="N98" s="405"/>
      <c r="O98" s="405"/>
      <c r="P98" s="405"/>
      <c r="Q98" s="374"/>
      <c r="R98" s="375"/>
      <c r="S98" s="380"/>
      <c r="T98" s="380"/>
      <c r="U98" s="380"/>
      <c r="V98" s="380"/>
      <c r="W98" s="380"/>
      <c r="X98" s="380"/>
      <c r="Y98" s="380"/>
      <c r="Z98" s="380"/>
      <c r="AA98" s="380"/>
      <c r="AB98" s="380"/>
      <c r="AC98" s="380"/>
      <c r="AD98" s="380"/>
      <c r="AE98" s="380"/>
    </row>
    <row r="99" spans="1:31" s="318" customFormat="1" ht="18" customHeight="1" x14ac:dyDescent="0.3">
      <c r="A99" s="279">
        <v>90</v>
      </c>
      <c r="B99" s="394"/>
      <c r="C99" s="395"/>
      <c r="D99" s="1046"/>
      <c r="E99" s="910" t="s">
        <v>1064</v>
      </c>
      <c r="F99" s="396"/>
      <c r="G99" s="396"/>
      <c r="H99" s="396"/>
      <c r="I99" s="1331"/>
      <c r="J99" s="1033">
        <f t="shared" si="21"/>
        <v>100</v>
      </c>
      <c r="K99" s="405"/>
      <c r="L99" s="405"/>
      <c r="M99" s="405">
        <v>100</v>
      </c>
      <c r="N99" s="405"/>
      <c r="O99" s="405"/>
      <c r="P99" s="405"/>
      <c r="Q99" s="374"/>
      <c r="R99" s="375"/>
      <c r="S99" s="380"/>
      <c r="T99" s="380"/>
      <c r="U99" s="380"/>
      <c r="V99" s="380"/>
      <c r="W99" s="380"/>
      <c r="X99" s="380"/>
      <c r="Y99" s="380"/>
      <c r="Z99" s="380"/>
      <c r="AA99" s="380"/>
      <c r="AB99" s="380"/>
      <c r="AC99" s="380"/>
      <c r="AD99" s="380"/>
      <c r="AE99" s="380"/>
    </row>
    <row r="100" spans="1:31" s="318" customFormat="1" ht="18" customHeight="1" x14ac:dyDescent="0.3">
      <c r="A100" s="279">
        <v>91</v>
      </c>
      <c r="B100" s="394"/>
      <c r="C100" s="395"/>
      <c r="D100" s="1046"/>
      <c r="E100" s="910" t="s">
        <v>1099</v>
      </c>
      <c r="F100" s="396"/>
      <c r="G100" s="396"/>
      <c r="H100" s="396"/>
      <c r="I100" s="1331"/>
      <c r="J100" s="1033">
        <f t="shared" si="21"/>
        <v>100</v>
      </c>
      <c r="K100" s="405"/>
      <c r="L100" s="405"/>
      <c r="M100" s="405">
        <v>100</v>
      </c>
      <c r="N100" s="405"/>
      <c r="O100" s="405"/>
      <c r="P100" s="405"/>
      <c r="Q100" s="374"/>
      <c r="R100" s="375"/>
      <c r="S100" s="380"/>
      <c r="T100" s="380"/>
      <c r="U100" s="380"/>
      <c r="V100" s="380"/>
      <c r="W100" s="380"/>
      <c r="X100" s="380"/>
      <c r="Y100" s="380"/>
      <c r="Z100" s="380"/>
      <c r="AA100" s="380"/>
      <c r="AB100" s="380"/>
      <c r="AC100" s="380"/>
      <c r="AD100" s="380"/>
      <c r="AE100" s="380"/>
    </row>
    <row r="101" spans="1:31" s="318" customFormat="1" ht="18" customHeight="1" x14ac:dyDescent="0.3">
      <c r="A101" s="279">
        <v>92</v>
      </c>
      <c r="B101" s="394"/>
      <c r="C101" s="395"/>
      <c r="D101" s="1046"/>
      <c r="E101" s="910" t="s">
        <v>1109</v>
      </c>
      <c r="F101" s="396"/>
      <c r="G101" s="396"/>
      <c r="H101" s="396"/>
      <c r="I101" s="1331"/>
      <c r="J101" s="1033">
        <f t="shared" si="21"/>
        <v>40000</v>
      </c>
      <c r="K101" s="405"/>
      <c r="L101" s="405"/>
      <c r="M101" s="405">
        <v>40000</v>
      </c>
      <c r="N101" s="405"/>
      <c r="O101" s="405"/>
      <c r="P101" s="405"/>
      <c r="Q101" s="374"/>
      <c r="R101" s="375"/>
      <c r="S101" s="380"/>
      <c r="T101" s="380"/>
      <c r="U101" s="380"/>
      <c r="V101" s="380"/>
      <c r="W101" s="380"/>
      <c r="X101" s="380"/>
      <c r="Y101" s="380"/>
      <c r="Z101" s="380"/>
      <c r="AA101" s="380"/>
      <c r="AB101" s="380"/>
      <c r="AC101" s="380"/>
      <c r="AD101" s="380"/>
      <c r="AE101" s="380"/>
    </row>
    <row r="102" spans="1:31" s="318" customFormat="1" ht="18" customHeight="1" x14ac:dyDescent="0.3">
      <c r="A102" s="279">
        <v>93</v>
      </c>
      <c r="B102" s="394"/>
      <c r="C102" s="395"/>
      <c r="D102" s="1046"/>
      <c r="E102" s="377" t="s">
        <v>858</v>
      </c>
      <c r="F102" s="396"/>
      <c r="G102" s="396"/>
      <c r="H102" s="396"/>
      <c r="I102" s="1331"/>
      <c r="J102" s="368">
        <f>SUM(K102:R102)</f>
        <v>569151</v>
      </c>
      <c r="K102" s="1034">
        <f>SUM(K95:K101)</f>
        <v>191600</v>
      </c>
      <c r="L102" s="1034">
        <f t="shared" ref="L102:P102" si="22">SUM(L95:L101)</f>
        <v>26787</v>
      </c>
      <c r="M102" s="1034">
        <f>SUM(M95:M101)</f>
        <v>325964</v>
      </c>
      <c r="N102" s="1034"/>
      <c r="O102" s="1034"/>
      <c r="P102" s="1034">
        <f t="shared" si="22"/>
        <v>24800</v>
      </c>
      <c r="Q102" s="374"/>
      <c r="R102" s="375"/>
      <c r="S102" s="380"/>
      <c r="T102" s="380"/>
      <c r="U102" s="380"/>
      <c r="V102" s="380"/>
      <c r="W102" s="380"/>
      <c r="X102" s="380"/>
      <c r="Y102" s="380"/>
      <c r="Z102" s="380"/>
      <c r="AA102" s="380"/>
      <c r="AB102" s="380"/>
      <c r="AC102" s="380"/>
      <c r="AD102" s="380"/>
      <c r="AE102" s="380"/>
    </row>
    <row r="103" spans="1:31" s="283" customFormat="1" ht="29.25" customHeight="1" x14ac:dyDescent="0.3">
      <c r="A103" s="279">
        <v>94</v>
      </c>
      <c r="B103" s="340"/>
      <c r="C103" s="402">
        <v>1</v>
      </c>
      <c r="D103" s="1871" t="s">
        <v>309</v>
      </c>
      <c r="E103" s="1872"/>
      <c r="F103" s="404"/>
      <c r="G103" s="296">
        <v>38465</v>
      </c>
      <c r="H103" s="296"/>
      <c r="I103" s="1330"/>
      <c r="J103" s="393"/>
      <c r="K103" s="382"/>
      <c r="L103" s="382"/>
      <c r="M103" s="382"/>
      <c r="N103" s="405"/>
      <c r="O103" s="405"/>
      <c r="P103" s="405"/>
      <c r="Q103" s="405"/>
      <c r="R103" s="406"/>
      <c r="S103" s="381"/>
      <c r="T103" s="381"/>
      <c r="U103" s="381"/>
      <c r="V103" s="381"/>
      <c r="W103" s="381"/>
      <c r="X103" s="381"/>
      <c r="Y103" s="381"/>
      <c r="Z103" s="381"/>
      <c r="AA103" s="381"/>
      <c r="AB103" s="381"/>
      <c r="AC103" s="381"/>
      <c r="AD103" s="381"/>
      <c r="AE103" s="381"/>
    </row>
    <row r="104" spans="1:31" s="284" customFormat="1" ht="22.5" customHeight="1" x14ac:dyDescent="0.3">
      <c r="A104" s="279">
        <v>95</v>
      </c>
      <c r="B104" s="293">
        <v>11</v>
      </c>
      <c r="C104" s="366"/>
      <c r="D104" s="377" t="s">
        <v>289</v>
      </c>
      <c r="E104" s="377"/>
      <c r="F104" s="378" t="s">
        <v>23</v>
      </c>
      <c r="G104" s="296">
        <v>631182</v>
      </c>
      <c r="H104" s="296">
        <v>275654</v>
      </c>
      <c r="I104" s="1330">
        <v>344063</v>
      </c>
      <c r="J104" s="393"/>
      <c r="K104" s="296"/>
      <c r="L104" s="296"/>
      <c r="M104" s="296"/>
      <c r="N104" s="296"/>
      <c r="O104" s="296"/>
      <c r="P104" s="296"/>
      <c r="Q104" s="296"/>
      <c r="R104" s="369"/>
      <c r="S104" s="65"/>
      <c r="T104" s="65"/>
      <c r="U104" s="65"/>
      <c r="V104" s="65"/>
      <c r="W104" s="65"/>
      <c r="X104" s="65"/>
      <c r="Y104" s="65"/>
      <c r="Z104" s="65"/>
      <c r="AA104" s="65"/>
      <c r="AB104" s="65"/>
      <c r="AC104" s="65"/>
      <c r="AD104" s="65"/>
      <c r="AE104" s="65"/>
    </row>
    <row r="105" spans="1:31" s="342" customFormat="1" ht="18" customHeight="1" x14ac:dyDescent="0.3">
      <c r="A105" s="279">
        <v>96</v>
      </c>
      <c r="B105" s="394"/>
      <c r="C105" s="395"/>
      <c r="D105" s="395"/>
      <c r="E105" s="371" t="s">
        <v>245</v>
      </c>
      <c r="F105" s="396"/>
      <c r="G105" s="396"/>
      <c r="H105" s="396"/>
      <c r="I105" s="1331"/>
      <c r="J105" s="373">
        <f>SUM(K105:R105)</f>
        <v>345036</v>
      </c>
      <c r="K105" s="374">
        <v>148399</v>
      </c>
      <c r="L105" s="374">
        <v>20249</v>
      </c>
      <c r="M105" s="374">
        <v>174288</v>
      </c>
      <c r="N105" s="374"/>
      <c r="O105" s="374"/>
      <c r="P105" s="374">
        <v>2100</v>
      </c>
      <c r="Q105" s="374"/>
      <c r="R105" s="375"/>
      <c r="S105" s="417"/>
      <c r="T105" s="417"/>
      <c r="U105" s="417"/>
      <c r="V105" s="417"/>
      <c r="W105" s="417"/>
      <c r="X105" s="417"/>
      <c r="Y105" s="417"/>
      <c r="Z105" s="417"/>
      <c r="AA105" s="417"/>
      <c r="AB105" s="417"/>
      <c r="AC105" s="417"/>
      <c r="AD105" s="417"/>
      <c r="AE105" s="417"/>
    </row>
    <row r="106" spans="1:31" s="342" customFormat="1" ht="18" customHeight="1" x14ac:dyDescent="0.3">
      <c r="A106" s="279">
        <v>97</v>
      </c>
      <c r="B106" s="394"/>
      <c r="C106" s="395"/>
      <c r="D106" s="395"/>
      <c r="E106" s="377" t="s">
        <v>810</v>
      </c>
      <c r="F106" s="396"/>
      <c r="G106" s="396"/>
      <c r="H106" s="396"/>
      <c r="I106" s="1331"/>
      <c r="J106" s="368">
        <f>SUM(K106:R106)</f>
        <v>377972</v>
      </c>
      <c r="K106" s="1034">
        <v>161586</v>
      </c>
      <c r="L106" s="1034">
        <v>21964</v>
      </c>
      <c r="M106" s="1034">
        <v>191122</v>
      </c>
      <c r="N106" s="1034"/>
      <c r="O106" s="1034"/>
      <c r="P106" s="1034">
        <v>3300</v>
      </c>
      <c r="Q106" s="374"/>
      <c r="R106" s="375"/>
      <c r="S106" s="417"/>
      <c r="T106" s="417"/>
      <c r="U106" s="417"/>
      <c r="V106" s="417"/>
      <c r="W106" s="417"/>
      <c r="X106" s="417"/>
      <c r="Y106" s="417"/>
      <c r="Z106" s="417"/>
      <c r="AA106" s="417"/>
      <c r="AB106" s="417"/>
      <c r="AC106" s="417"/>
      <c r="AD106" s="417"/>
      <c r="AE106" s="417"/>
    </row>
    <row r="107" spans="1:31" s="342" customFormat="1" ht="18" customHeight="1" x14ac:dyDescent="0.3">
      <c r="A107" s="279">
        <v>98</v>
      </c>
      <c r="B107" s="394"/>
      <c r="C107" s="395"/>
      <c r="D107" s="395"/>
      <c r="E107" s="910" t="s">
        <v>1072</v>
      </c>
      <c r="F107" s="396"/>
      <c r="G107" s="396"/>
      <c r="H107" s="396"/>
      <c r="I107" s="1331"/>
      <c r="J107" s="1033">
        <f>SUM(K107:R107)</f>
        <v>300</v>
      </c>
      <c r="K107" s="405"/>
      <c r="L107" s="405"/>
      <c r="M107" s="405">
        <v>300</v>
      </c>
      <c r="N107" s="374"/>
      <c r="O107" s="374"/>
      <c r="P107" s="374"/>
      <c r="Q107" s="374"/>
      <c r="R107" s="375"/>
      <c r="S107" s="417"/>
      <c r="T107" s="417"/>
      <c r="U107" s="417"/>
      <c r="V107" s="417"/>
      <c r="W107" s="417"/>
      <c r="X107" s="417"/>
      <c r="Y107" s="417"/>
      <c r="Z107" s="417"/>
      <c r="AA107" s="417"/>
      <c r="AB107" s="417"/>
      <c r="AC107" s="417"/>
      <c r="AD107" s="417"/>
      <c r="AE107" s="417"/>
    </row>
    <row r="108" spans="1:31" s="342" customFormat="1" ht="18" customHeight="1" x14ac:dyDescent="0.3">
      <c r="A108" s="279">
        <v>99</v>
      </c>
      <c r="B108" s="394"/>
      <c r="C108" s="395"/>
      <c r="D108" s="395"/>
      <c r="E108" s="910" t="s">
        <v>1070</v>
      </c>
      <c r="F108" s="396"/>
      <c r="G108" s="396"/>
      <c r="H108" s="396"/>
      <c r="I108" s="1331"/>
      <c r="J108" s="1033">
        <f>SUM(K108:R108)</f>
        <v>300</v>
      </c>
      <c r="K108" s="405"/>
      <c r="L108" s="405"/>
      <c r="M108" s="405">
        <v>300</v>
      </c>
      <c r="N108" s="374"/>
      <c r="O108" s="374"/>
      <c r="P108" s="374"/>
      <c r="Q108" s="374"/>
      <c r="R108" s="375"/>
      <c r="S108" s="417"/>
      <c r="T108" s="417"/>
      <c r="U108" s="417"/>
      <c r="V108" s="417"/>
      <c r="W108" s="417"/>
      <c r="X108" s="417"/>
      <c r="Y108" s="417"/>
      <c r="Z108" s="417"/>
      <c r="AA108" s="417"/>
      <c r="AB108" s="417"/>
      <c r="AC108" s="417"/>
      <c r="AD108" s="417"/>
      <c r="AE108" s="417"/>
    </row>
    <row r="109" spans="1:31" s="342" customFormat="1" ht="18" customHeight="1" x14ac:dyDescent="0.3">
      <c r="A109" s="279">
        <v>100</v>
      </c>
      <c r="B109" s="394"/>
      <c r="C109" s="395"/>
      <c r="D109" s="395"/>
      <c r="E109" s="377" t="s">
        <v>858</v>
      </c>
      <c r="F109" s="396"/>
      <c r="G109" s="396"/>
      <c r="H109" s="396"/>
      <c r="I109" s="1331"/>
      <c r="J109" s="368">
        <f>SUM(K109:R109)</f>
        <v>378572</v>
      </c>
      <c r="K109" s="1034">
        <f>SUM(K106:K108)</f>
        <v>161586</v>
      </c>
      <c r="L109" s="1034">
        <f t="shared" ref="L109:P109" si="23">SUM(L106:L108)</f>
        <v>21964</v>
      </c>
      <c r="M109" s="1034">
        <f t="shared" si="23"/>
        <v>191722</v>
      </c>
      <c r="N109" s="1034"/>
      <c r="O109" s="1034"/>
      <c r="P109" s="1034">
        <f t="shared" si="23"/>
        <v>3300</v>
      </c>
      <c r="Q109" s="374"/>
      <c r="R109" s="375"/>
      <c r="S109" s="417"/>
      <c r="T109" s="417"/>
      <c r="U109" s="417"/>
      <c r="V109" s="417"/>
      <c r="W109" s="417"/>
      <c r="X109" s="417"/>
      <c r="Y109" s="417"/>
      <c r="Z109" s="417"/>
      <c r="AA109" s="417"/>
      <c r="AB109" s="417"/>
      <c r="AC109" s="417"/>
      <c r="AD109" s="417"/>
      <c r="AE109" s="417"/>
    </row>
    <row r="110" spans="1:31" s="284" customFormat="1" ht="22.5" customHeight="1" x14ac:dyDescent="0.3">
      <c r="A110" s="279">
        <v>101</v>
      </c>
      <c r="B110" s="293">
        <v>12</v>
      </c>
      <c r="C110" s="366"/>
      <c r="D110" s="377" t="s">
        <v>636</v>
      </c>
      <c r="E110" s="377"/>
      <c r="F110" s="378" t="s">
        <v>23</v>
      </c>
      <c r="G110" s="296">
        <v>656144</v>
      </c>
      <c r="H110" s="296">
        <v>671116</v>
      </c>
      <c r="I110" s="1330">
        <v>675848</v>
      </c>
      <c r="J110" s="393"/>
      <c r="K110" s="296"/>
      <c r="L110" s="296"/>
      <c r="M110" s="296"/>
      <c r="N110" s="296"/>
      <c r="O110" s="296"/>
      <c r="P110" s="296"/>
      <c r="Q110" s="296"/>
      <c r="R110" s="369"/>
      <c r="S110" s="65"/>
      <c r="T110" s="65"/>
      <c r="U110" s="65"/>
      <c r="V110" s="65"/>
      <c r="W110" s="65"/>
      <c r="X110" s="65"/>
      <c r="Y110" s="65"/>
      <c r="Z110" s="65"/>
      <c r="AA110" s="65"/>
      <c r="AB110" s="65"/>
      <c r="AC110" s="65"/>
      <c r="AD110" s="65"/>
      <c r="AE110" s="65"/>
    </row>
    <row r="111" spans="1:31" s="342" customFormat="1" ht="18" customHeight="1" x14ac:dyDescent="0.3">
      <c r="A111" s="279">
        <v>102</v>
      </c>
      <c r="B111" s="394"/>
      <c r="C111" s="395"/>
      <c r="D111" s="395"/>
      <c r="E111" s="371" t="s">
        <v>245</v>
      </c>
      <c r="F111" s="396"/>
      <c r="G111" s="396"/>
      <c r="H111" s="396"/>
      <c r="I111" s="1331"/>
      <c r="J111" s="373">
        <f t="shared" ref="J111:J117" si="24">SUM(K111:R111)</f>
        <v>701280</v>
      </c>
      <c r="K111" s="374">
        <v>337524</v>
      </c>
      <c r="L111" s="374">
        <v>50352</v>
      </c>
      <c r="M111" s="374">
        <v>242816</v>
      </c>
      <c r="N111" s="374"/>
      <c r="O111" s="374"/>
      <c r="P111" s="374">
        <v>70588</v>
      </c>
      <c r="Q111" s="374"/>
      <c r="R111" s="375"/>
      <c r="S111" s="417"/>
      <c r="T111" s="417"/>
      <c r="U111" s="417"/>
      <c r="V111" s="417"/>
      <c r="W111" s="417"/>
      <c r="X111" s="417"/>
      <c r="Y111" s="417"/>
      <c r="Z111" s="417"/>
      <c r="AA111" s="417"/>
      <c r="AB111" s="417"/>
      <c r="AC111" s="417"/>
      <c r="AD111" s="417"/>
      <c r="AE111" s="417"/>
    </row>
    <row r="112" spans="1:31" s="342" customFormat="1" ht="18" customHeight="1" x14ac:dyDescent="0.3">
      <c r="A112" s="279">
        <v>103</v>
      </c>
      <c r="B112" s="394"/>
      <c r="C112" s="395"/>
      <c r="D112" s="395"/>
      <c r="E112" s="377" t="s">
        <v>810</v>
      </c>
      <c r="F112" s="396"/>
      <c r="G112" s="396"/>
      <c r="H112" s="396"/>
      <c r="I112" s="1331"/>
      <c r="J112" s="368">
        <f t="shared" si="24"/>
        <v>771437</v>
      </c>
      <c r="K112" s="1034">
        <v>354649</v>
      </c>
      <c r="L112" s="1034">
        <v>52543</v>
      </c>
      <c r="M112" s="1034">
        <v>276965</v>
      </c>
      <c r="N112" s="1034"/>
      <c r="O112" s="1034"/>
      <c r="P112" s="1034">
        <v>87280</v>
      </c>
      <c r="Q112" s="374"/>
      <c r="R112" s="375"/>
      <c r="S112" s="417"/>
      <c r="T112" s="417"/>
      <c r="U112" s="417"/>
      <c r="V112" s="417"/>
      <c r="W112" s="417"/>
      <c r="X112" s="417"/>
      <c r="Y112" s="417"/>
      <c r="Z112" s="417"/>
      <c r="AA112" s="417"/>
      <c r="AB112" s="417"/>
      <c r="AC112" s="417"/>
      <c r="AD112" s="417"/>
      <c r="AE112" s="417"/>
    </row>
    <row r="113" spans="1:31" s="342" customFormat="1" ht="18" customHeight="1" x14ac:dyDescent="0.3">
      <c r="A113" s="279">
        <v>104</v>
      </c>
      <c r="B113" s="394"/>
      <c r="C113" s="395"/>
      <c r="D113" s="395"/>
      <c r="E113" s="910" t="s">
        <v>928</v>
      </c>
      <c r="F113" s="396"/>
      <c r="G113" s="396"/>
      <c r="H113" s="396"/>
      <c r="I113" s="1331"/>
      <c r="J113" s="1033">
        <f t="shared" si="24"/>
        <v>1719</v>
      </c>
      <c r="K113" s="405">
        <v>1786</v>
      </c>
      <c r="L113" s="405">
        <v>235</v>
      </c>
      <c r="M113" s="405">
        <v>-1451</v>
      </c>
      <c r="N113" s="405"/>
      <c r="O113" s="405">
        <v>609</v>
      </c>
      <c r="P113" s="405">
        <v>540</v>
      </c>
      <c r="Q113" s="374"/>
      <c r="R113" s="375"/>
      <c r="S113" s="417"/>
      <c r="T113" s="417"/>
      <c r="U113" s="417"/>
      <c r="V113" s="417"/>
      <c r="W113" s="417"/>
      <c r="X113" s="417"/>
      <c r="Y113" s="417"/>
      <c r="Z113" s="417"/>
      <c r="AA113" s="417"/>
      <c r="AB113" s="417"/>
      <c r="AC113" s="417"/>
      <c r="AD113" s="417"/>
      <c r="AE113" s="417"/>
    </row>
    <row r="114" spans="1:31" s="342" customFormat="1" ht="18" customHeight="1" x14ac:dyDescent="0.3">
      <c r="A114" s="279">
        <v>105</v>
      </c>
      <c r="B114" s="394"/>
      <c r="C114" s="395"/>
      <c r="D114" s="395"/>
      <c r="E114" s="910" t="s">
        <v>927</v>
      </c>
      <c r="F114" s="396"/>
      <c r="G114" s="396"/>
      <c r="H114" s="396"/>
      <c r="I114" s="1331"/>
      <c r="J114" s="1033">
        <f t="shared" si="24"/>
        <v>160</v>
      </c>
      <c r="K114" s="405"/>
      <c r="L114" s="405"/>
      <c r="M114" s="405"/>
      <c r="N114" s="405"/>
      <c r="O114" s="405"/>
      <c r="P114" s="405">
        <v>160</v>
      </c>
      <c r="Q114" s="374"/>
      <c r="R114" s="375"/>
      <c r="S114" s="417"/>
      <c r="T114" s="417"/>
      <c r="U114" s="417"/>
      <c r="V114" s="417"/>
      <c r="W114" s="417"/>
      <c r="X114" s="417"/>
      <c r="Y114" s="417"/>
      <c r="Z114" s="417"/>
      <c r="AA114" s="417"/>
      <c r="AB114" s="417"/>
      <c r="AC114" s="417"/>
      <c r="AD114" s="417"/>
      <c r="AE114" s="417"/>
    </row>
    <row r="115" spans="1:31" s="342" customFormat="1" ht="18" customHeight="1" x14ac:dyDescent="0.3">
      <c r="A115" s="279">
        <v>106</v>
      </c>
      <c r="B115" s="394"/>
      <c r="C115" s="395"/>
      <c r="D115" s="395"/>
      <c r="E115" s="910" t="s">
        <v>1053</v>
      </c>
      <c r="F115" s="396"/>
      <c r="G115" s="396"/>
      <c r="H115" s="396"/>
      <c r="I115" s="1331"/>
      <c r="J115" s="1033">
        <f t="shared" si="24"/>
        <v>300</v>
      </c>
      <c r="K115" s="405"/>
      <c r="L115" s="405"/>
      <c r="M115" s="405">
        <v>300</v>
      </c>
      <c r="N115" s="405"/>
      <c r="O115" s="405"/>
      <c r="P115" s="405"/>
      <c r="Q115" s="374"/>
      <c r="R115" s="375"/>
      <c r="S115" s="417"/>
      <c r="T115" s="417"/>
      <c r="U115" s="417"/>
      <c r="V115" s="417"/>
      <c r="W115" s="417"/>
      <c r="X115" s="417"/>
      <c r="Y115" s="417"/>
      <c r="Z115" s="417"/>
      <c r="AA115" s="417"/>
      <c r="AB115" s="417"/>
      <c r="AC115" s="417"/>
      <c r="AD115" s="417"/>
      <c r="AE115" s="417"/>
    </row>
    <row r="116" spans="1:31" s="342" customFormat="1" ht="18" customHeight="1" x14ac:dyDescent="0.3">
      <c r="A116" s="279">
        <v>107</v>
      </c>
      <c r="B116" s="394"/>
      <c r="C116" s="395"/>
      <c r="D116" s="395"/>
      <c r="E116" s="910" t="s">
        <v>1100</v>
      </c>
      <c r="F116" s="396"/>
      <c r="G116" s="396"/>
      <c r="H116" s="396"/>
      <c r="I116" s="1331"/>
      <c r="J116" s="1033">
        <f t="shared" si="24"/>
        <v>150</v>
      </c>
      <c r="K116" s="405"/>
      <c r="L116" s="405"/>
      <c r="M116" s="405"/>
      <c r="N116" s="405"/>
      <c r="O116" s="405"/>
      <c r="P116" s="405">
        <v>150</v>
      </c>
      <c r="Q116" s="374"/>
      <c r="R116" s="375"/>
      <c r="S116" s="417"/>
      <c r="T116" s="417"/>
      <c r="U116" s="417"/>
      <c r="V116" s="417"/>
      <c r="W116" s="417"/>
      <c r="X116" s="417"/>
      <c r="Y116" s="417"/>
      <c r="Z116" s="417"/>
      <c r="AA116" s="417"/>
      <c r="AB116" s="417"/>
      <c r="AC116" s="417"/>
      <c r="AD116" s="417"/>
      <c r="AE116" s="417"/>
    </row>
    <row r="117" spans="1:31" s="342" customFormat="1" ht="18" customHeight="1" x14ac:dyDescent="0.3">
      <c r="A117" s="279">
        <v>108</v>
      </c>
      <c r="B117" s="394"/>
      <c r="C117" s="395"/>
      <c r="D117" s="395"/>
      <c r="E117" s="377" t="s">
        <v>858</v>
      </c>
      <c r="F117" s="396"/>
      <c r="G117" s="396"/>
      <c r="H117" s="396"/>
      <c r="I117" s="1331"/>
      <c r="J117" s="368">
        <f t="shared" si="24"/>
        <v>773766</v>
      </c>
      <c r="K117" s="1034">
        <f>SUM(K112:K116)</f>
        <v>356435</v>
      </c>
      <c r="L117" s="1034">
        <f t="shared" ref="L117:P117" si="25">SUM(L112:L116)</f>
        <v>52778</v>
      </c>
      <c r="M117" s="1034">
        <f t="shared" si="25"/>
        <v>275814</v>
      </c>
      <c r="N117" s="1034"/>
      <c r="O117" s="1034">
        <f t="shared" si="25"/>
        <v>609</v>
      </c>
      <c r="P117" s="1034">
        <f t="shared" si="25"/>
        <v>88130</v>
      </c>
      <c r="Q117" s="374"/>
      <c r="R117" s="375"/>
      <c r="S117" s="417"/>
      <c r="T117" s="417"/>
      <c r="U117" s="417"/>
      <c r="V117" s="417"/>
      <c r="W117" s="417"/>
      <c r="X117" s="417"/>
      <c r="Y117" s="417"/>
      <c r="Z117" s="417"/>
      <c r="AA117" s="417"/>
      <c r="AB117" s="417"/>
      <c r="AC117" s="417"/>
      <c r="AD117" s="417"/>
      <c r="AE117" s="417"/>
    </row>
    <row r="118" spans="1:31" s="283" customFormat="1" ht="18" customHeight="1" x14ac:dyDescent="0.3">
      <c r="A118" s="279">
        <v>109</v>
      </c>
      <c r="B118" s="340"/>
      <c r="C118" s="366">
        <v>1</v>
      </c>
      <c r="D118" s="403" t="s">
        <v>309</v>
      </c>
      <c r="E118" s="403"/>
      <c r="F118" s="404"/>
      <c r="G118" s="296">
        <v>15125</v>
      </c>
      <c r="H118" s="296"/>
      <c r="I118" s="1330"/>
      <c r="J118" s="393"/>
      <c r="K118" s="382"/>
      <c r="L118" s="382"/>
      <c r="M118" s="382"/>
      <c r="N118" s="405"/>
      <c r="O118" s="405"/>
      <c r="P118" s="405"/>
      <c r="Q118" s="405"/>
      <c r="R118" s="406"/>
      <c r="S118" s="381"/>
      <c r="T118" s="381"/>
      <c r="U118" s="381"/>
      <c r="V118" s="381"/>
      <c r="W118" s="381"/>
      <c r="X118" s="381"/>
      <c r="Y118" s="381"/>
      <c r="Z118" s="381"/>
      <c r="AA118" s="381"/>
      <c r="AB118" s="381"/>
      <c r="AC118" s="381"/>
      <c r="AD118" s="381"/>
      <c r="AE118" s="381"/>
    </row>
    <row r="119" spans="1:31" s="283" customFormat="1" ht="22.5" customHeight="1" x14ac:dyDescent="0.3">
      <c r="A119" s="279">
        <v>110</v>
      </c>
      <c r="B119" s="293">
        <v>13</v>
      </c>
      <c r="C119" s="366"/>
      <c r="D119" s="377" t="s">
        <v>30</v>
      </c>
      <c r="E119" s="377"/>
      <c r="F119" s="378" t="s">
        <v>23</v>
      </c>
      <c r="G119" s="296">
        <v>544167</v>
      </c>
      <c r="H119" s="296">
        <v>689496</v>
      </c>
      <c r="I119" s="1330">
        <v>753405</v>
      </c>
      <c r="J119" s="393"/>
      <c r="K119" s="296"/>
      <c r="L119" s="296"/>
      <c r="M119" s="296"/>
      <c r="N119" s="296"/>
      <c r="O119" s="296"/>
      <c r="P119" s="296"/>
      <c r="Q119" s="296"/>
      <c r="R119" s="369"/>
      <c r="S119" s="381"/>
      <c r="T119" s="381"/>
      <c r="U119" s="381"/>
      <c r="V119" s="381"/>
      <c r="W119" s="381"/>
      <c r="X119" s="381"/>
      <c r="Y119" s="381"/>
      <c r="Z119" s="381"/>
      <c r="AA119" s="381"/>
      <c r="AB119" s="381"/>
      <c r="AC119" s="381"/>
      <c r="AD119" s="381"/>
      <c r="AE119" s="381"/>
    </row>
    <row r="120" spans="1:31" s="342" customFormat="1" ht="18" customHeight="1" x14ac:dyDescent="0.3">
      <c r="A120" s="279">
        <v>111</v>
      </c>
      <c r="B120" s="394"/>
      <c r="C120" s="395"/>
      <c r="D120" s="395"/>
      <c r="E120" s="371" t="s">
        <v>245</v>
      </c>
      <c r="F120" s="396"/>
      <c r="G120" s="396"/>
      <c r="H120" s="396"/>
      <c r="I120" s="1331"/>
      <c r="J120" s="373">
        <f>SUM(K120:R120)</f>
        <v>567474</v>
      </c>
      <c r="K120" s="374">
        <v>341800</v>
      </c>
      <c r="L120" s="374">
        <v>53420</v>
      </c>
      <c r="M120" s="374">
        <v>164854</v>
      </c>
      <c r="N120" s="374"/>
      <c r="O120" s="374"/>
      <c r="P120" s="374">
        <v>7400</v>
      </c>
      <c r="Q120" s="374"/>
      <c r="R120" s="375"/>
      <c r="S120" s="417"/>
      <c r="T120" s="417"/>
      <c r="U120" s="417"/>
      <c r="V120" s="417"/>
      <c r="W120" s="417"/>
      <c r="X120" s="417"/>
      <c r="Y120" s="417"/>
      <c r="Z120" s="417"/>
      <c r="AA120" s="417"/>
      <c r="AB120" s="417"/>
      <c r="AC120" s="417"/>
      <c r="AD120" s="417"/>
      <c r="AE120" s="417"/>
    </row>
    <row r="121" spans="1:31" s="342" customFormat="1" ht="18" customHeight="1" x14ac:dyDescent="0.3">
      <c r="A121" s="279">
        <v>112</v>
      </c>
      <c r="B121" s="394"/>
      <c r="C121" s="395"/>
      <c r="D121" s="395"/>
      <c r="E121" s="377" t="s">
        <v>810</v>
      </c>
      <c r="F121" s="396"/>
      <c r="G121" s="396"/>
      <c r="H121" s="396"/>
      <c r="I121" s="1331"/>
      <c r="J121" s="368">
        <f>SUM(K121:R121)</f>
        <v>606482</v>
      </c>
      <c r="K121" s="1034">
        <v>355389</v>
      </c>
      <c r="L121" s="1034">
        <v>55186</v>
      </c>
      <c r="M121" s="1034">
        <v>179967</v>
      </c>
      <c r="N121" s="1034"/>
      <c r="O121" s="1034"/>
      <c r="P121" s="1034">
        <v>15940</v>
      </c>
      <c r="Q121" s="374"/>
      <c r="R121" s="375"/>
      <c r="S121" s="417"/>
      <c r="T121" s="417"/>
      <c r="U121" s="417"/>
      <c r="V121" s="417"/>
      <c r="W121" s="417"/>
      <c r="X121" s="417"/>
      <c r="Y121" s="417"/>
      <c r="Z121" s="417"/>
      <c r="AA121" s="417"/>
      <c r="AB121" s="417"/>
      <c r="AC121" s="417"/>
      <c r="AD121" s="417"/>
      <c r="AE121" s="417"/>
    </row>
    <row r="122" spans="1:31" s="342" customFormat="1" ht="18" customHeight="1" x14ac:dyDescent="0.3">
      <c r="A122" s="279">
        <v>113</v>
      </c>
      <c r="B122" s="394"/>
      <c r="C122" s="395"/>
      <c r="D122" s="395"/>
      <c r="E122" s="910" t="s">
        <v>993</v>
      </c>
      <c r="F122" s="396"/>
      <c r="G122" s="396"/>
      <c r="H122" s="396"/>
      <c r="I122" s="1331"/>
      <c r="J122" s="1033">
        <f>SUM(K122:R122)</f>
        <v>1012</v>
      </c>
      <c r="K122" s="405">
        <v>873</v>
      </c>
      <c r="L122" s="405">
        <v>114</v>
      </c>
      <c r="M122" s="405">
        <v>25</v>
      </c>
      <c r="N122" s="405"/>
      <c r="O122" s="405"/>
      <c r="P122" s="405"/>
      <c r="Q122" s="374"/>
      <c r="R122" s="375"/>
      <c r="S122" s="417"/>
      <c r="T122" s="417"/>
      <c r="U122" s="417"/>
      <c r="V122" s="417"/>
      <c r="W122" s="417"/>
      <c r="X122" s="417"/>
      <c r="Y122" s="417"/>
      <c r="Z122" s="417"/>
      <c r="AA122" s="417"/>
      <c r="AB122" s="417"/>
      <c r="AC122" s="417"/>
      <c r="AD122" s="417"/>
      <c r="AE122" s="417"/>
    </row>
    <row r="123" spans="1:31" s="342" customFormat="1" ht="18" customHeight="1" x14ac:dyDescent="0.3">
      <c r="A123" s="279">
        <v>114</v>
      </c>
      <c r="B123" s="394"/>
      <c r="C123" s="395"/>
      <c r="D123" s="395"/>
      <c r="E123" s="377" t="s">
        <v>858</v>
      </c>
      <c r="F123" s="396"/>
      <c r="G123" s="396"/>
      <c r="H123" s="396"/>
      <c r="I123" s="1331"/>
      <c r="J123" s="368">
        <f>SUM(K123:R123)</f>
        <v>607494</v>
      </c>
      <c r="K123" s="1034">
        <f>SUM(K121:K122)</f>
        <v>356262</v>
      </c>
      <c r="L123" s="1034">
        <f>SUM(L121:L122)</f>
        <v>55300</v>
      </c>
      <c r="M123" s="1034">
        <f>SUM(M121:M122)</f>
        <v>179992</v>
      </c>
      <c r="N123" s="1034"/>
      <c r="O123" s="1034"/>
      <c r="P123" s="1034">
        <f>SUM(P121:P122)</f>
        <v>15940</v>
      </c>
      <c r="Q123" s="374"/>
      <c r="R123" s="375"/>
      <c r="S123" s="417"/>
      <c r="T123" s="417"/>
      <c r="U123" s="417"/>
      <c r="V123" s="417"/>
      <c r="W123" s="417"/>
      <c r="X123" s="417"/>
      <c r="Y123" s="417"/>
      <c r="Z123" s="417"/>
      <c r="AA123" s="417"/>
      <c r="AB123" s="417"/>
      <c r="AC123" s="417"/>
      <c r="AD123" s="417"/>
      <c r="AE123" s="417"/>
    </row>
    <row r="124" spans="1:31" s="284" customFormat="1" ht="18" customHeight="1" x14ac:dyDescent="0.3">
      <c r="A124" s="279">
        <v>115</v>
      </c>
      <c r="B124" s="419"/>
      <c r="C124" s="366">
        <v>1</v>
      </c>
      <c r="D124" s="377" t="s">
        <v>339</v>
      </c>
      <c r="E124" s="420"/>
      <c r="F124" s="421"/>
      <c r="G124" s="296">
        <v>9796</v>
      </c>
      <c r="H124" s="296"/>
      <c r="I124" s="1337"/>
      <c r="J124" s="393"/>
      <c r="K124" s="405"/>
      <c r="L124" s="405"/>
      <c r="M124" s="405"/>
      <c r="N124" s="405"/>
      <c r="O124" s="405"/>
      <c r="P124" s="405"/>
      <c r="Q124" s="405"/>
      <c r="R124" s="406"/>
      <c r="S124" s="65"/>
      <c r="T124" s="65"/>
      <c r="U124" s="65"/>
      <c r="V124" s="65"/>
      <c r="W124" s="65"/>
      <c r="X124" s="65"/>
      <c r="Y124" s="65"/>
      <c r="Z124" s="65"/>
      <c r="AA124" s="65"/>
      <c r="AB124" s="65"/>
      <c r="AC124" s="65"/>
      <c r="AD124" s="65"/>
      <c r="AE124" s="65"/>
    </row>
    <row r="125" spans="1:31" s="283" customFormat="1" ht="29.65" customHeight="1" x14ac:dyDescent="0.3">
      <c r="A125" s="279">
        <v>116</v>
      </c>
      <c r="B125" s="340"/>
      <c r="C125" s="402">
        <v>2</v>
      </c>
      <c r="D125" s="1876" t="s">
        <v>359</v>
      </c>
      <c r="E125" s="1877"/>
      <c r="F125" s="404"/>
      <c r="G125" s="296">
        <v>2110</v>
      </c>
      <c r="H125" s="296"/>
      <c r="I125" s="1330"/>
      <c r="J125" s="393"/>
      <c r="K125" s="382"/>
      <c r="L125" s="382"/>
      <c r="M125" s="382"/>
      <c r="N125" s="405"/>
      <c r="O125" s="405"/>
      <c r="P125" s="405"/>
      <c r="Q125" s="405"/>
      <c r="R125" s="406"/>
      <c r="S125" s="381"/>
      <c r="T125" s="381"/>
      <c r="U125" s="381"/>
      <c r="V125" s="381"/>
      <c r="W125" s="381"/>
      <c r="X125" s="381"/>
      <c r="Y125" s="381"/>
      <c r="Z125" s="381"/>
      <c r="AA125" s="381"/>
      <c r="AB125" s="381"/>
      <c r="AC125" s="381"/>
      <c r="AD125" s="381"/>
      <c r="AE125" s="381"/>
    </row>
    <row r="126" spans="1:31" s="283" customFormat="1" ht="18" customHeight="1" x14ac:dyDescent="0.3">
      <c r="A126" s="279">
        <v>117</v>
      </c>
      <c r="B126" s="340"/>
      <c r="C126" s="366">
        <v>3</v>
      </c>
      <c r="D126" s="1871" t="s">
        <v>382</v>
      </c>
      <c r="E126" s="1872"/>
      <c r="F126" s="404"/>
      <c r="G126" s="296">
        <v>7179</v>
      </c>
      <c r="H126" s="296"/>
      <c r="I126" s="1330"/>
      <c r="J126" s="393"/>
      <c r="K126" s="382"/>
      <c r="L126" s="382"/>
      <c r="M126" s="382"/>
      <c r="N126" s="405"/>
      <c r="O126" s="405"/>
      <c r="P126" s="405"/>
      <c r="Q126" s="405"/>
      <c r="R126" s="406"/>
      <c r="S126" s="381"/>
      <c r="T126" s="381"/>
      <c r="U126" s="381"/>
      <c r="V126" s="381"/>
      <c r="W126" s="381"/>
      <c r="X126" s="381"/>
      <c r="Y126" s="381"/>
      <c r="Z126" s="381"/>
      <c r="AA126" s="381"/>
      <c r="AB126" s="381"/>
      <c r="AC126" s="381"/>
      <c r="AD126" s="381"/>
      <c r="AE126" s="381"/>
    </row>
    <row r="127" spans="1:31" s="283" customFormat="1" ht="22.5" customHeight="1" x14ac:dyDescent="0.3">
      <c r="A127" s="279">
        <v>118</v>
      </c>
      <c r="B127" s="293">
        <v>14</v>
      </c>
      <c r="C127" s="366"/>
      <c r="D127" s="377" t="s">
        <v>290</v>
      </c>
      <c r="E127" s="377"/>
      <c r="F127" s="378" t="s">
        <v>24</v>
      </c>
      <c r="G127" s="296">
        <v>396829</v>
      </c>
      <c r="H127" s="296">
        <v>265743</v>
      </c>
      <c r="I127" s="1330">
        <v>325347</v>
      </c>
      <c r="J127" s="393"/>
      <c r="K127" s="296"/>
      <c r="L127" s="296"/>
      <c r="M127" s="296"/>
      <c r="N127" s="296"/>
      <c r="O127" s="296"/>
      <c r="P127" s="296"/>
      <c r="Q127" s="296"/>
      <c r="R127" s="369"/>
      <c r="S127" s="381"/>
      <c r="T127" s="381"/>
      <c r="U127" s="381"/>
      <c r="V127" s="381"/>
      <c r="W127" s="381"/>
      <c r="X127" s="381"/>
      <c r="Y127" s="381"/>
      <c r="Z127" s="381"/>
      <c r="AA127" s="381"/>
      <c r="AB127" s="381"/>
      <c r="AC127" s="381"/>
      <c r="AD127" s="381"/>
      <c r="AE127" s="381"/>
    </row>
    <row r="128" spans="1:31" s="306" customFormat="1" ht="18" customHeight="1" x14ac:dyDescent="0.3">
      <c r="A128" s="279">
        <v>119</v>
      </c>
      <c r="B128" s="394"/>
      <c r="C128" s="395"/>
      <c r="D128" s="395"/>
      <c r="E128" s="371" t="s">
        <v>245</v>
      </c>
      <c r="F128" s="396"/>
      <c r="G128" s="396"/>
      <c r="H128" s="396"/>
      <c r="I128" s="1331"/>
      <c r="J128" s="373">
        <f>SUM(K128:R128)</f>
        <v>417855</v>
      </c>
      <c r="K128" s="374">
        <v>191298</v>
      </c>
      <c r="L128" s="374">
        <v>30077</v>
      </c>
      <c r="M128" s="374">
        <v>180646</v>
      </c>
      <c r="N128" s="374"/>
      <c r="O128" s="374"/>
      <c r="P128" s="374">
        <v>15834</v>
      </c>
      <c r="Q128" s="374"/>
      <c r="R128" s="375"/>
      <c r="S128" s="376"/>
      <c r="T128" s="376"/>
      <c r="U128" s="376"/>
      <c r="V128" s="376"/>
      <c r="W128" s="376"/>
      <c r="X128" s="376"/>
      <c r="Y128" s="376"/>
      <c r="Z128" s="376"/>
      <c r="AA128" s="376"/>
      <c r="AB128" s="376"/>
      <c r="AC128" s="376"/>
      <c r="AD128" s="376"/>
      <c r="AE128" s="376"/>
    </row>
    <row r="129" spans="1:31" s="306" customFormat="1" ht="18" customHeight="1" x14ac:dyDescent="0.3">
      <c r="A129" s="279">
        <v>120</v>
      </c>
      <c r="B129" s="394"/>
      <c r="C129" s="395"/>
      <c r="D129" s="395"/>
      <c r="E129" s="377" t="s">
        <v>810</v>
      </c>
      <c r="F129" s="396"/>
      <c r="G129" s="396"/>
      <c r="H129" s="396"/>
      <c r="I129" s="1331"/>
      <c r="J129" s="368">
        <f>SUM(K129:R129)</f>
        <v>437024</v>
      </c>
      <c r="K129" s="1034">
        <v>193180</v>
      </c>
      <c r="L129" s="1034">
        <v>31295</v>
      </c>
      <c r="M129" s="1034">
        <v>186315</v>
      </c>
      <c r="N129" s="1034"/>
      <c r="O129" s="1034"/>
      <c r="P129" s="1034">
        <v>26234</v>
      </c>
      <c r="Q129" s="374"/>
      <c r="R129" s="375"/>
      <c r="S129" s="376"/>
      <c r="T129" s="376"/>
      <c r="U129" s="376"/>
      <c r="V129" s="376"/>
      <c r="W129" s="376"/>
      <c r="X129" s="376"/>
      <c r="Y129" s="376"/>
      <c r="Z129" s="376"/>
      <c r="AA129" s="376"/>
      <c r="AB129" s="376"/>
      <c r="AC129" s="376"/>
      <c r="AD129" s="376"/>
      <c r="AE129" s="376"/>
    </row>
    <row r="130" spans="1:31" s="306" customFormat="1" ht="18" customHeight="1" x14ac:dyDescent="0.3">
      <c r="A130" s="279">
        <v>121</v>
      </c>
      <c r="B130" s="394"/>
      <c r="C130" s="395"/>
      <c r="D130" s="395"/>
      <c r="E130" s="910" t="s">
        <v>1035</v>
      </c>
      <c r="F130" s="396"/>
      <c r="G130" s="396"/>
      <c r="H130" s="396"/>
      <c r="I130" s="1331"/>
      <c r="J130" s="1033">
        <f>SUM(K130:R130)</f>
        <v>19500</v>
      </c>
      <c r="K130" s="405">
        <v>7000</v>
      </c>
      <c r="L130" s="405">
        <v>-5500</v>
      </c>
      <c r="M130" s="405">
        <v>16000</v>
      </c>
      <c r="N130" s="405"/>
      <c r="O130" s="405"/>
      <c r="P130" s="405">
        <v>2000</v>
      </c>
      <c r="Q130" s="374"/>
      <c r="R130" s="375"/>
      <c r="S130" s="376"/>
      <c r="T130" s="376"/>
      <c r="U130" s="376"/>
      <c r="V130" s="376"/>
      <c r="W130" s="376"/>
      <c r="X130" s="376"/>
      <c r="Y130" s="376"/>
      <c r="Z130" s="376"/>
      <c r="AA130" s="376"/>
      <c r="AB130" s="376"/>
      <c r="AC130" s="376"/>
      <c r="AD130" s="376"/>
      <c r="AE130" s="376"/>
    </row>
    <row r="131" spans="1:31" s="306" customFormat="1" ht="18" customHeight="1" x14ac:dyDescent="0.3">
      <c r="A131" s="279">
        <v>122</v>
      </c>
      <c r="B131" s="394"/>
      <c r="C131" s="395"/>
      <c r="D131" s="395"/>
      <c r="E131" s="910" t="s">
        <v>1033</v>
      </c>
      <c r="F131" s="396"/>
      <c r="G131" s="396"/>
      <c r="H131" s="396"/>
      <c r="I131" s="1331"/>
      <c r="J131" s="1033">
        <f t="shared" ref="J131:J132" si="26">SUM(K131:R131)</f>
        <v>-475</v>
      </c>
      <c r="K131" s="405">
        <v>-420</v>
      </c>
      <c r="L131" s="405">
        <v>-55</v>
      </c>
      <c r="M131" s="405"/>
      <c r="N131" s="405"/>
      <c r="O131" s="405"/>
      <c r="P131" s="405"/>
      <c r="Q131" s="374"/>
      <c r="R131" s="375"/>
      <c r="S131" s="376"/>
      <c r="T131" s="376"/>
      <c r="U131" s="376"/>
      <c r="V131" s="376"/>
      <c r="W131" s="376"/>
      <c r="X131" s="376"/>
      <c r="Y131" s="376"/>
      <c r="Z131" s="376"/>
      <c r="AA131" s="376"/>
      <c r="AB131" s="376"/>
      <c r="AC131" s="376"/>
      <c r="AD131" s="376"/>
      <c r="AE131" s="376"/>
    </row>
    <row r="132" spans="1:31" s="306" customFormat="1" ht="18" customHeight="1" x14ac:dyDescent="0.3">
      <c r="A132" s="279">
        <v>123</v>
      </c>
      <c r="B132" s="394"/>
      <c r="C132" s="395"/>
      <c r="D132" s="395"/>
      <c r="E132" s="910" t="s">
        <v>1034</v>
      </c>
      <c r="F132" s="396"/>
      <c r="G132" s="396"/>
      <c r="H132" s="396"/>
      <c r="I132" s="1331"/>
      <c r="J132" s="1033">
        <f t="shared" si="26"/>
        <v>7000</v>
      </c>
      <c r="K132" s="405"/>
      <c r="L132" s="405"/>
      <c r="M132" s="405"/>
      <c r="N132" s="405"/>
      <c r="O132" s="405"/>
      <c r="P132" s="405">
        <v>7000</v>
      </c>
      <c r="Q132" s="374"/>
      <c r="R132" s="375"/>
      <c r="S132" s="376"/>
      <c r="T132" s="376"/>
      <c r="U132" s="376"/>
      <c r="V132" s="376"/>
      <c r="W132" s="376"/>
      <c r="X132" s="376"/>
      <c r="Y132" s="376"/>
      <c r="Z132" s="376"/>
      <c r="AA132" s="376"/>
      <c r="AB132" s="376"/>
      <c r="AC132" s="376"/>
      <c r="AD132" s="376"/>
      <c r="AE132" s="376"/>
    </row>
    <row r="133" spans="1:31" s="306" customFormat="1" ht="18" customHeight="1" x14ac:dyDescent="0.3">
      <c r="A133" s="279">
        <v>124</v>
      </c>
      <c r="B133" s="394"/>
      <c r="C133" s="395"/>
      <c r="D133" s="395"/>
      <c r="E133" s="377" t="s">
        <v>858</v>
      </c>
      <c r="F133" s="396"/>
      <c r="G133" s="396"/>
      <c r="H133" s="396"/>
      <c r="I133" s="1331"/>
      <c r="J133" s="368">
        <f>SUM(K133:R133)</f>
        <v>463049</v>
      </c>
      <c r="K133" s="1034">
        <f>SUM(K129:K132)</f>
        <v>199760</v>
      </c>
      <c r="L133" s="1034">
        <f>SUM(L129:L132)</f>
        <v>25740</v>
      </c>
      <c r="M133" s="1034">
        <f>SUM(M129:M132)</f>
        <v>202315</v>
      </c>
      <c r="N133" s="1034"/>
      <c r="O133" s="1034"/>
      <c r="P133" s="1034">
        <f>SUM(P129:P132)</f>
        <v>35234</v>
      </c>
      <c r="Q133" s="1034"/>
      <c r="R133" s="1400"/>
      <c r="S133" s="376"/>
      <c r="T133" s="376"/>
      <c r="U133" s="376"/>
      <c r="V133" s="376"/>
      <c r="W133" s="376"/>
      <c r="X133" s="376"/>
      <c r="Y133" s="376"/>
      <c r="Z133" s="376"/>
      <c r="AA133" s="376"/>
      <c r="AB133" s="376"/>
      <c r="AC133" s="376"/>
      <c r="AD133" s="376"/>
      <c r="AE133" s="376"/>
    </row>
    <row r="134" spans="1:31" ht="22.5" customHeight="1" x14ac:dyDescent="0.3">
      <c r="A134" s="279">
        <v>125</v>
      </c>
      <c r="B134" s="293">
        <v>15</v>
      </c>
      <c r="C134" s="366"/>
      <c r="D134" s="377" t="s">
        <v>119</v>
      </c>
      <c r="E134" s="377"/>
      <c r="F134" s="378" t="s">
        <v>24</v>
      </c>
      <c r="G134" s="296">
        <v>1218027</v>
      </c>
      <c r="H134" s="296">
        <v>950477</v>
      </c>
      <c r="I134" s="1330">
        <v>1194197</v>
      </c>
      <c r="J134" s="393"/>
      <c r="K134" s="296"/>
      <c r="L134" s="296"/>
      <c r="M134" s="296"/>
      <c r="N134" s="296"/>
      <c r="O134" s="296"/>
      <c r="P134" s="296"/>
      <c r="Q134" s="296"/>
      <c r="R134" s="369"/>
    </row>
    <row r="135" spans="1:31" s="306" customFormat="1" ht="18" customHeight="1" x14ac:dyDescent="0.3">
      <c r="A135" s="279">
        <v>126</v>
      </c>
      <c r="B135" s="394"/>
      <c r="C135" s="397"/>
      <c r="D135" s="397"/>
      <c r="E135" s="353" t="s">
        <v>245</v>
      </c>
      <c r="F135" s="398"/>
      <c r="G135" s="398"/>
      <c r="H135" s="398"/>
      <c r="I135" s="1334"/>
      <c r="J135" s="399">
        <f t="shared" ref="J135:J140" si="27">SUM(K135:R135)</f>
        <v>1005749</v>
      </c>
      <c r="K135" s="400">
        <v>582717</v>
      </c>
      <c r="L135" s="400">
        <v>56556</v>
      </c>
      <c r="M135" s="400">
        <v>362124</v>
      </c>
      <c r="N135" s="400"/>
      <c r="O135" s="400"/>
      <c r="P135" s="400">
        <v>4352</v>
      </c>
      <c r="Q135" s="400"/>
      <c r="R135" s="401"/>
      <c r="S135" s="376"/>
      <c r="T135" s="376"/>
      <c r="U135" s="376"/>
      <c r="V135" s="376"/>
      <c r="W135" s="376"/>
      <c r="X135" s="376"/>
      <c r="Y135" s="376"/>
      <c r="Z135" s="376"/>
      <c r="AA135" s="376"/>
      <c r="AB135" s="376"/>
      <c r="AC135" s="376"/>
      <c r="AD135" s="376"/>
      <c r="AE135" s="376"/>
    </row>
    <row r="136" spans="1:31" s="306" customFormat="1" ht="18" customHeight="1" x14ac:dyDescent="0.3">
      <c r="A136" s="279">
        <v>127</v>
      </c>
      <c r="B136" s="394"/>
      <c r="C136" s="397"/>
      <c r="D136" s="397"/>
      <c r="E136" s="377" t="s">
        <v>810</v>
      </c>
      <c r="F136" s="398"/>
      <c r="G136" s="398"/>
      <c r="H136" s="398"/>
      <c r="I136" s="1334"/>
      <c r="J136" s="1474">
        <f t="shared" si="27"/>
        <v>1077172</v>
      </c>
      <c r="K136" s="1043">
        <v>605322</v>
      </c>
      <c r="L136" s="1043">
        <v>56835</v>
      </c>
      <c r="M136" s="1043">
        <v>401663</v>
      </c>
      <c r="N136" s="1043"/>
      <c r="O136" s="1043"/>
      <c r="P136" s="1043">
        <v>13352</v>
      </c>
      <c r="Q136" s="400"/>
      <c r="R136" s="401"/>
      <c r="S136" s="376"/>
      <c r="T136" s="376"/>
      <c r="U136" s="376"/>
      <c r="V136" s="376"/>
      <c r="W136" s="376"/>
      <c r="X136" s="376"/>
      <c r="Y136" s="376"/>
      <c r="Z136" s="376"/>
      <c r="AA136" s="376"/>
      <c r="AB136" s="376"/>
      <c r="AC136" s="376"/>
      <c r="AD136" s="376"/>
      <c r="AE136" s="376"/>
    </row>
    <row r="137" spans="1:31" s="306" customFormat="1" ht="18" customHeight="1" x14ac:dyDescent="0.3">
      <c r="A137" s="279">
        <v>128</v>
      </c>
      <c r="B137" s="394"/>
      <c r="C137" s="1041"/>
      <c r="D137" s="1041"/>
      <c r="E137" s="910" t="s">
        <v>910</v>
      </c>
      <c r="F137" s="396"/>
      <c r="G137" s="396"/>
      <c r="H137" s="396"/>
      <c r="I137" s="1338"/>
      <c r="J137" s="1033">
        <f t="shared" si="27"/>
        <v>139440</v>
      </c>
      <c r="K137" s="405"/>
      <c r="L137" s="405"/>
      <c r="M137" s="405">
        <v>139440</v>
      </c>
      <c r="N137" s="405"/>
      <c r="O137" s="405"/>
      <c r="P137" s="405"/>
      <c r="Q137" s="374"/>
      <c r="R137" s="375"/>
      <c r="S137" s="376"/>
      <c r="T137" s="376"/>
      <c r="U137" s="376"/>
      <c r="V137" s="376"/>
      <c r="W137" s="376"/>
      <c r="X137" s="376"/>
      <c r="Y137" s="376"/>
      <c r="Z137" s="376"/>
      <c r="AA137" s="376"/>
      <c r="AB137" s="376"/>
      <c r="AC137" s="376"/>
      <c r="AD137" s="376"/>
      <c r="AE137" s="376"/>
    </row>
    <row r="138" spans="1:31" s="306" customFormat="1" ht="18" customHeight="1" x14ac:dyDescent="0.3">
      <c r="A138" s="279">
        <v>129</v>
      </c>
      <c r="B138" s="394"/>
      <c r="C138" s="1814"/>
      <c r="D138" s="1814"/>
      <c r="E138" s="1825" t="s">
        <v>1082</v>
      </c>
      <c r="F138" s="398"/>
      <c r="G138" s="398"/>
      <c r="H138" s="398"/>
      <c r="I138" s="1373"/>
      <c r="J138" s="1826">
        <f t="shared" si="27"/>
        <v>37000</v>
      </c>
      <c r="K138" s="1321">
        <v>-12945</v>
      </c>
      <c r="L138" s="1321">
        <v>751</v>
      </c>
      <c r="M138" s="1321">
        <v>44194</v>
      </c>
      <c r="N138" s="1321"/>
      <c r="O138" s="1321"/>
      <c r="P138" s="1321">
        <v>5000</v>
      </c>
      <c r="Q138" s="400"/>
      <c r="R138" s="401"/>
      <c r="S138" s="376"/>
      <c r="T138" s="376"/>
      <c r="U138" s="376"/>
      <c r="V138" s="376"/>
      <c r="W138" s="376"/>
      <c r="X138" s="376"/>
      <c r="Y138" s="376"/>
      <c r="Z138" s="376"/>
      <c r="AA138" s="376"/>
      <c r="AB138" s="376"/>
      <c r="AC138" s="376"/>
      <c r="AD138" s="376"/>
      <c r="AE138" s="376"/>
    </row>
    <row r="139" spans="1:31" s="306" customFormat="1" ht="18" customHeight="1" x14ac:dyDescent="0.3">
      <c r="A139" s="279">
        <v>130</v>
      </c>
      <c r="B139" s="394"/>
      <c r="C139" s="1041"/>
      <c r="D139" s="1041"/>
      <c r="E139" s="910" t="s">
        <v>917</v>
      </c>
      <c r="F139" s="396"/>
      <c r="G139" s="396"/>
      <c r="H139" s="396"/>
      <c r="I139" s="1338"/>
      <c r="J139" s="1033">
        <f t="shared" si="27"/>
        <v>0</v>
      </c>
      <c r="K139" s="405"/>
      <c r="L139" s="405"/>
      <c r="M139" s="405">
        <v>-33000</v>
      </c>
      <c r="N139" s="405"/>
      <c r="O139" s="405"/>
      <c r="P139" s="405">
        <v>33000</v>
      </c>
      <c r="Q139" s="374"/>
      <c r="R139" s="375"/>
      <c r="S139" s="376"/>
      <c r="T139" s="376"/>
      <c r="U139" s="376"/>
      <c r="V139" s="376"/>
      <c r="W139" s="376"/>
      <c r="X139" s="376"/>
      <c r="Y139" s="376"/>
      <c r="Z139" s="376"/>
      <c r="AA139" s="376"/>
      <c r="AB139" s="376"/>
      <c r="AC139" s="376"/>
      <c r="AD139" s="376"/>
      <c r="AE139" s="376"/>
    </row>
    <row r="140" spans="1:31" s="306" customFormat="1" ht="18" customHeight="1" thickBot="1" x14ac:dyDescent="0.35">
      <c r="A140" s="279">
        <v>131</v>
      </c>
      <c r="B140" s="394"/>
      <c r="C140" s="1039"/>
      <c r="D140" s="1039"/>
      <c r="E140" s="362" t="s">
        <v>858</v>
      </c>
      <c r="F140" s="1038"/>
      <c r="G140" s="1038"/>
      <c r="H140" s="1038"/>
      <c r="I140" s="1339"/>
      <c r="J140" s="364">
        <f t="shared" si="27"/>
        <v>1253612</v>
      </c>
      <c r="K140" s="1044">
        <f>SUM(K136:K139)</f>
        <v>592377</v>
      </c>
      <c r="L140" s="1044">
        <f t="shared" ref="L140:P140" si="28">SUM(L136:L139)</f>
        <v>57586</v>
      </c>
      <c r="M140" s="1044">
        <f>SUM(M136:M139)</f>
        <v>552297</v>
      </c>
      <c r="N140" s="1044"/>
      <c r="O140" s="1044"/>
      <c r="P140" s="1044">
        <f t="shared" si="28"/>
        <v>51352</v>
      </c>
      <c r="Q140" s="1024"/>
      <c r="R140" s="1025"/>
      <c r="S140" s="376"/>
      <c r="T140" s="376"/>
      <c r="U140" s="376"/>
      <c r="V140" s="376"/>
      <c r="W140" s="376"/>
      <c r="X140" s="376"/>
      <c r="Y140" s="376"/>
      <c r="Z140" s="376"/>
      <c r="AA140" s="376"/>
      <c r="AB140" s="376"/>
      <c r="AC140" s="376"/>
      <c r="AD140" s="376"/>
      <c r="AE140" s="376"/>
    </row>
    <row r="141" spans="1:31" s="413" customFormat="1" ht="22.5" customHeight="1" thickTop="1" x14ac:dyDescent="0.2">
      <c r="A141" s="279">
        <v>132</v>
      </c>
      <c r="B141" s="384"/>
      <c r="C141" s="1889" t="s">
        <v>313</v>
      </c>
      <c r="D141" s="1890"/>
      <c r="E141" s="1891"/>
      <c r="F141" s="422"/>
      <c r="G141" s="385">
        <f>SUM(G93:G135)</f>
        <v>4018802</v>
      </c>
      <c r="H141" s="385">
        <f>SUM(H93:H135)</f>
        <v>3274331</v>
      </c>
      <c r="I141" s="1340">
        <f>SUM(I93:I135)</f>
        <v>3703929</v>
      </c>
      <c r="J141" s="423"/>
      <c r="K141" s="410"/>
      <c r="L141" s="410"/>
      <c r="M141" s="410"/>
      <c r="N141" s="410"/>
      <c r="O141" s="410"/>
      <c r="P141" s="410"/>
      <c r="Q141" s="410"/>
      <c r="R141" s="411"/>
      <c r="S141" s="412"/>
      <c r="T141" s="412"/>
      <c r="U141" s="412"/>
      <c r="V141" s="412"/>
      <c r="W141" s="412"/>
      <c r="X141" s="412"/>
      <c r="Y141" s="412"/>
      <c r="Z141" s="412"/>
      <c r="AA141" s="412"/>
      <c r="AB141" s="412"/>
      <c r="AC141" s="412"/>
      <c r="AD141" s="412"/>
      <c r="AE141" s="412"/>
    </row>
    <row r="142" spans="1:31" s="306" customFormat="1" ht="18" customHeight="1" x14ac:dyDescent="0.3">
      <c r="A142" s="279">
        <v>133</v>
      </c>
      <c r="B142" s="394"/>
      <c r="C142" s="1040"/>
      <c r="D142" s="397"/>
      <c r="E142" s="353" t="s">
        <v>245</v>
      </c>
      <c r="F142" s="398"/>
      <c r="G142" s="398"/>
      <c r="H142" s="398"/>
      <c r="I142" s="1334"/>
      <c r="J142" s="399">
        <f t="shared" ref="J142:R142" si="29">SUM(J94,J105,J111,J120,J128,J135)</f>
        <v>3425605</v>
      </c>
      <c r="K142" s="400">
        <f t="shared" si="29"/>
        <v>1762696</v>
      </c>
      <c r="L142" s="400">
        <f t="shared" si="29"/>
        <v>232752</v>
      </c>
      <c r="M142" s="400">
        <f t="shared" si="29"/>
        <v>1329883</v>
      </c>
      <c r="N142" s="400">
        <f t="shared" si="29"/>
        <v>0</v>
      </c>
      <c r="O142" s="400">
        <f t="shared" si="29"/>
        <v>0</v>
      </c>
      <c r="P142" s="400">
        <f t="shared" si="29"/>
        <v>100274</v>
      </c>
      <c r="Q142" s="400">
        <f t="shared" si="29"/>
        <v>0</v>
      </c>
      <c r="R142" s="401">
        <f t="shared" si="29"/>
        <v>0</v>
      </c>
      <c r="S142" s="376"/>
      <c r="T142" s="376"/>
      <c r="U142" s="376"/>
      <c r="V142" s="376"/>
      <c r="W142" s="376"/>
      <c r="X142" s="376"/>
      <c r="Y142" s="376"/>
      <c r="Z142" s="376"/>
      <c r="AA142" s="376"/>
      <c r="AB142" s="376"/>
      <c r="AC142" s="376"/>
      <c r="AD142" s="376"/>
      <c r="AE142" s="376"/>
    </row>
    <row r="143" spans="1:31" s="306" customFormat="1" ht="18" customHeight="1" x14ac:dyDescent="0.3">
      <c r="A143" s="279">
        <v>134</v>
      </c>
      <c r="B143" s="1036"/>
      <c r="C143" s="1040"/>
      <c r="D143" s="397"/>
      <c r="E143" s="377" t="s">
        <v>810</v>
      </c>
      <c r="F143" s="398"/>
      <c r="G143" s="398"/>
      <c r="H143" s="398"/>
      <c r="I143" s="1334"/>
      <c r="J143" s="1474">
        <f t="shared" ref="J143:R143" si="30">SUM(J95,J106,J112,J121,J129,J136)</f>
        <v>3790338</v>
      </c>
      <c r="K143" s="1043">
        <f t="shared" si="30"/>
        <v>1861726</v>
      </c>
      <c r="L143" s="1043">
        <f t="shared" si="30"/>
        <v>244610</v>
      </c>
      <c r="M143" s="1043">
        <f t="shared" si="30"/>
        <v>1518696</v>
      </c>
      <c r="N143" s="1043">
        <f t="shared" si="30"/>
        <v>0</v>
      </c>
      <c r="O143" s="1043">
        <f t="shared" si="30"/>
        <v>0</v>
      </c>
      <c r="P143" s="1043">
        <f t="shared" si="30"/>
        <v>165306</v>
      </c>
      <c r="Q143" s="1043">
        <f t="shared" si="30"/>
        <v>0</v>
      </c>
      <c r="R143" s="1482">
        <f t="shared" si="30"/>
        <v>0</v>
      </c>
      <c r="S143" s="376"/>
      <c r="T143" s="376"/>
      <c r="U143" s="376"/>
      <c r="V143" s="376"/>
      <c r="W143" s="376"/>
      <c r="X143" s="376"/>
      <c r="Y143" s="376"/>
      <c r="Z143" s="376"/>
      <c r="AA143" s="376"/>
      <c r="AB143" s="376"/>
      <c r="AC143" s="376"/>
      <c r="AD143" s="376"/>
      <c r="AE143" s="376"/>
    </row>
    <row r="144" spans="1:31" s="306" customFormat="1" ht="18" customHeight="1" x14ac:dyDescent="0.3">
      <c r="A144" s="279">
        <v>135</v>
      </c>
      <c r="B144" s="1036"/>
      <c r="C144" s="1041"/>
      <c r="D144" s="395"/>
      <c r="E144" s="910" t="s">
        <v>652</v>
      </c>
      <c r="F144" s="396"/>
      <c r="G144" s="396"/>
      <c r="H144" s="396"/>
      <c r="I144" s="1331"/>
      <c r="J144" s="1033">
        <f>SUM(K144:R144)</f>
        <v>255306</v>
      </c>
      <c r="K144" s="405">
        <f>K137+K130+K122+K113+K107+K96+K131+K132+K97+K114+K98+K99+K100+K101+K115+K108+K138+K116+K139</f>
        <v>-3706</v>
      </c>
      <c r="L144" s="405">
        <f t="shared" ref="L144:R144" si="31">L137+L130+L122+L113+L107+L96+L131+L132+L97+L114+L98+L99+L100+L101+L115+L108+L138+L116+L139</f>
        <v>-4455</v>
      </c>
      <c r="M144" s="405">
        <f t="shared" si="31"/>
        <v>209408</v>
      </c>
      <c r="N144" s="405">
        <f t="shared" si="31"/>
        <v>0</v>
      </c>
      <c r="O144" s="405">
        <f t="shared" si="31"/>
        <v>609</v>
      </c>
      <c r="P144" s="405">
        <f t="shared" si="31"/>
        <v>53450</v>
      </c>
      <c r="Q144" s="405">
        <f t="shared" si="31"/>
        <v>0</v>
      </c>
      <c r="R144" s="406">
        <f t="shared" si="31"/>
        <v>0</v>
      </c>
      <c r="S144" s="376"/>
      <c r="T144" s="376"/>
      <c r="U144" s="376"/>
      <c r="V144" s="376"/>
      <c r="W144" s="376"/>
      <c r="X144" s="376"/>
      <c r="Y144" s="376"/>
      <c r="Z144" s="376"/>
      <c r="AA144" s="376"/>
      <c r="AB144" s="376"/>
      <c r="AC144" s="376"/>
      <c r="AD144" s="376"/>
      <c r="AE144" s="376"/>
    </row>
    <row r="145" spans="1:31" s="306" customFormat="1" ht="18" customHeight="1" thickBot="1" x14ac:dyDescent="0.35">
      <c r="A145" s="279">
        <v>136</v>
      </c>
      <c r="B145" s="1036"/>
      <c r="C145" s="414"/>
      <c r="D145" s="415"/>
      <c r="E145" s="911" t="s">
        <v>858</v>
      </c>
      <c r="F145" s="416"/>
      <c r="G145" s="416"/>
      <c r="H145" s="416"/>
      <c r="I145" s="1336"/>
      <c r="J145" s="919">
        <f>SUM(K145:R145)</f>
        <v>4045644</v>
      </c>
      <c r="K145" s="1045">
        <f>SUM(K143:K144)</f>
        <v>1858020</v>
      </c>
      <c r="L145" s="1045">
        <f t="shared" ref="L145:R145" si="32">SUM(L143:L144)</f>
        <v>240155</v>
      </c>
      <c r="M145" s="1045">
        <f t="shared" si="32"/>
        <v>1728104</v>
      </c>
      <c r="N145" s="1045">
        <f t="shared" si="32"/>
        <v>0</v>
      </c>
      <c r="O145" s="1045">
        <f t="shared" si="32"/>
        <v>609</v>
      </c>
      <c r="P145" s="1045">
        <f t="shared" si="32"/>
        <v>218756</v>
      </c>
      <c r="Q145" s="1045">
        <f t="shared" si="32"/>
        <v>0</v>
      </c>
      <c r="R145" s="1081">
        <f t="shared" si="32"/>
        <v>0</v>
      </c>
      <c r="S145" s="376"/>
      <c r="T145" s="376"/>
      <c r="U145" s="376"/>
      <c r="V145" s="376"/>
      <c r="W145" s="376"/>
      <c r="X145" s="376"/>
      <c r="Y145" s="376"/>
      <c r="Z145" s="376"/>
      <c r="AA145" s="376"/>
      <c r="AB145" s="376"/>
      <c r="AC145" s="376"/>
      <c r="AD145" s="376"/>
      <c r="AE145" s="376"/>
    </row>
    <row r="146" spans="1:31" s="337" customFormat="1" ht="22.5" customHeight="1" thickTop="1" x14ac:dyDescent="0.3">
      <c r="A146" s="279">
        <v>137</v>
      </c>
      <c r="B146" s="286">
        <v>16</v>
      </c>
      <c r="C146" s="361"/>
      <c r="D146" s="1055" t="s">
        <v>220</v>
      </c>
      <c r="E146" s="1055"/>
      <c r="F146" s="363" t="s">
        <v>23</v>
      </c>
      <c r="G146" s="290">
        <v>1410376</v>
      </c>
      <c r="H146" s="290">
        <v>1824602</v>
      </c>
      <c r="I146" s="1329">
        <v>1734625</v>
      </c>
      <c r="J146" s="392"/>
      <c r="K146" s="290"/>
      <c r="L146" s="290"/>
      <c r="M146" s="290"/>
      <c r="N146" s="290"/>
      <c r="O146" s="290"/>
      <c r="P146" s="290"/>
      <c r="Q146" s="290"/>
      <c r="R146" s="365"/>
      <c r="S146" s="379"/>
      <c r="T146" s="379"/>
      <c r="U146" s="379"/>
      <c r="V146" s="379"/>
      <c r="W146" s="379"/>
      <c r="X146" s="379"/>
      <c r="Y146" s="379"/>
      <c r="Z146" s="379"/>
      <c r="AA146" s="379"/>
      <c r="AB146" s="379"/>
      <c r="AC146" s="379"/>
      <c r="AD146" s="379"/>
      <c r="AE146" s="379"/>
    </row>
    <row r="147" spans="1:31" s="318" customFormat="1" ht="18" customHeight="1" x14ac:dyDescent="0.3">
      <c r="A147" s="279">
        <v>138</v>
      </c>
      <c r="B147" s="1048"/>
      <c r="C147" s="397"/>
      <c r="D147" s="397"/>
      <c r="E147" s="353" t="s">
        <v>245</v>
      </c>
      <c r="F147" s="398"/>
      <c r="G147" s="398"/>
      <c r="H147" s="398"/>
      <c r="I147" s="1334"/>
      <c r="J147" s="399">
        <f>SUM(K147:R147)</f>
        <v>1911546</v>
      </c>
      <c r="K147" s="400">
        <v>340732</v>
      </c>
      <c r="L147" s="400">
        <v>51260</v>
      </c>
      <c r="M147" s="400">
        <v>1508451</v>
      </c>
      <c r="N147" s="400"/>
      <c r="O147" s="400"/>
      <c r="P147" s="400">
        <v>11103</v>
      </c>
      <c r="Q147" s="400"/>
      <c r="R147" s="401"/>
      <c r="S147" s="380"/>
      <c r="T147" s="380"/>
      <c r="U147" s="380"/>
      <c r="V147" s="380"/>
      <c r="W147" s="380"/>
      <c r="X147" s="380"/>
      <c r="Y147" s="380"/>
      <c r="Z147" s="380"/>
      <c r="AA147" s="380"/>
      <c r="AB147" s="380"/>
      <c r="AC147" s="380"/>
      <c r="AD147" s="380"/>
      <c r="AE147" s="380"/>
    </row>
    <row r="148" spans="1:31" s="318" customFormat="1" ht="18" customHeight="1" x14ac:dyDescent="0.3">
      <c r="A148" s="279">
        <v>139</v>
      </c>
      <c r="B148" s="1475"/>
      <c r="C148" s="397"/>
      <c r="D148" s="397"/>
      <c r="E148" s="377" t="s">
        <v>810</v>
      </c>
      <c r="F148" s="398"/>
      <c r="G148" s="398"/>
      <c r="H148" s="398"/>
      <c r="I148" s="1334"/>
      <c r="J148" s="1474">
        <f>SUM(K148:R148)</f>
        <v>2125636</v>
      </c>
      <c r="K148" s="1043">
        <v>355732</v>
      </c>
      <c r="L148" s="1043">
        <v>53210</v>
      </c>
      <c r="M148" s="1043">
        <v>1700591</v>
      </c>
      <c r="N148" s="1043"/>
      <c r="O148" s="1043"/>
      <c r="P148" s="1043">
        <v>16103</v>
      </c>
      <c r="Q148" s="400"/>
      <c r="R148" s="401"/>
      <c r="S148" s="380"/>
      <c r="T148" s="380"/>
      <c r="U148" s="380"/>
      <c r="V148" s="380"/>
      <c r="W148" s="380"/>
      <c r="X148" s="380"/>
      <c r="Y148" s="380"/>
      <c r="Z148" s="380"/>
      <c r="AA148" s="380"/>
      <c r="AB148" s="380"/>
      <c r="AC148" s="380"/>
      <c r="AD148" s="380"/>
      <c r="AE148" s="380"/>
    </row>
    <row r="149" spans="1:31" s="318" customFormat="1" ht="18" customHeight="1" x14ac:dyDescent="0.3">
      <c r="A149" s="279">
        <v>140</v>
      </c>
      <c r="B149" s="1049"/>
      <c r="C149" s="1041"/>
      <c r="D149" s="1041"/>
      <c r="E149" s="910" t="s">
        <v>652</v>
      </c>
      <c r="F149" s="396"/>
      <c r="G149" s="396"/>
      <c r="H149" s="396"/>
      <c r="I149" s="1331"/>
      <c r="J149" s="1033">
        <f>SUM(K149:R149)</f>
        <v>0</v>
      </c>
      <c r="K149" s="405"/>
      <c r="L149" s="405"/>
      <c r="M149" s="405"/>
      <c r="N149" s="405"/>
      <c r="O149" s="405"/>
      <c r="P149" s="405"/>
      <c r="Q149" s="374"/>
      <c r="R149" s="375"/>
      <c r="S149" s="380"/>
      <c r="T149" s="380"/>
      <c r="U149" s="380"/>
      <c r="V149" s="380"/>
      <c r="W149" s="380"/>
      <c r="X149" s="380"/>
      <c r="Y149" s="380"/>
      <c r="Z149" s="380"/>
      <c r="AA149" s="380"/>
      <c r="AB149" s="380"/>
      <c r="AC149" s="380"/>
      <c r="AD149" s="380"/>
      <c r="AE149" s="380"/>
    </row>
    <row r="150" spans="1:31" s="318" customFormat="1" ht="18" customHeight="1" thickBot="1" x14ac:dyDescent="0.35">
      <c r="A150" s="279">
        <v>141</v>
      </c>
      <c r="B150" s="1050"/>
      <c r="C150" s="1051"/>
      <c r="D150" s="1051"/>
      <c r="E150" s="377" t="s">
        <v>858</v>
      </c>
      <c r="F150" s="424"/>
      <c r="G150" s="424"/>
      <c r="H150" s="424"/>
      <c r="I150" s="1341"/>
      <c r="J150" s="1053">
        <f>SUM(K150:R150)</f>
        <v>2125636</v>
      </c>
      <c r="K150" s="1054">
        <f>SUM(K148:K149)</f>
        <v>355732</v>
      </c>
      <c r="L150" s="1054">
        <f t="shared" ref="L150:P150" si="33">SUM(L148:L149)</f>
        <v>53210</v>
      </c>
      <c r="M150" s="1054">
        <f t="shared" si="33"/>
        <v>1700591</v>
      </c>
      <c r="N150" s="1054"/>
      <c r="O150" s="1054"/>
      <c r="P150" s="1054">
        <f t="shared" si="33"/>
        <v>16103</v>
      </c>
      <c r="Q150" s="425"/>
      <c r="R150" s="426"/>
      <c r="S150" s="380"/>
      <c r="T150" s="380"/>
      <c r="U150" s="380"/>
      <c r="V150" s="380"/>
      <c r="W150" s="380"/>
      <c r="X150" s="380"/>
      <c r="Y150" s="380"/>
      <c r="Z150" s="380"/>
      <c r="AA150" s="380"/>
      <c r="AB150" s="380"/>
      <c r="AC150" s="380"/>
      <c r="AD150" s="380"/>
      <c r="AE150" s="380"/>
    </row>
    <row r="151" spans="1:31" s="311" customFormat="1" ht="36" customHeight="1" x14ac:dyDescent="0.3">
      <c r="A151" s="279">
        <v>142</v>
      </c>
      <c r="B151" s="1873" t="s">
        <v>120</v>
      </c>
      <c r="C151" s="1874"/>
      <c r="D151" s="1874"/>
      <c r="E151" s="1875"/>
      <c r="F151" s="427"/>
      <c r="G151" s="428">
        <f>SUM(G146,G141,G88,G58)</f>
        <v>10216226</v>
      </c>
      <c r="H151" s="428">
        <f>SUM(H146,H141,H88,H58)</f>
        <v>10526892</v>
      </c>
      <c r="I151" s="1342">
        <f>SUM(I146,I141,I88,I58)</f>
        <v>11131643</v>
      </c>
      <c r="J151" s="1052"/>
      <c r="K151" s="429"/>
      <c r="L151" s="429"/>
      <c r="M151" s="429"/>
      <c r="N151" s="429"/>
      <c r="O151" s="429"/>
      <c r="P151" s="429"/>
      <c r="Q151" s="429"/>
      <c r="R151" s="430"/>
      <c r="S151" s="431"/>
      <c r="T151" s="431"/>
      <c r="U151" s="431"/>
      <c r="V151" s="431"/>
      <c r="W151" s="431"/>
      <c r="X151" s="431"/>
      <c r="Y151" s="431"/>
      <c r="Z151" s="431"/>
      <c r="AA151" s="431"/>
      <c r="AB151" s="431"/>
      <c r="AC151" s="431"/>
      <c r="AD151" s="431"/>
      <c r="AE151" s="431"/>
    </row>
    <row r="152" spans="1:31" s="306" customFormat="1" ht="18" customHeight="1" x14ac:dyDescent="0.3">
      <c r="A152" s="279">
        <v>143</v>
      </c>
      <c r="B152" s="1048"/>
      <c r="C152" s="397"/>
      <c r="D152" s="397"/>
      <c r="E152" s="353" t="s">
        <v>245</v>
      </c>
      <c r="F152" s="398"/>
      <c r="G152" s="398"/>
      <c r="H152" s="398"/>
      <c r="I152" s="1334"/>
      <c r="J152" s="399">
        <f>SUM(K152:R152)</f>
        <v>11340349</v>
      </c>
      <c r="K152" s="400">
        <f t="shared" ref="K152:R153" si="34">SUM(K147,K142,K89,K59)</f>
        <v>6354896</v>
      </c>
      <c r="L152" s="400">
        <f t="shared" si="34"/>
        <v>927970</v>
      </c>
      <c r="M152" s="400">
        <f t="shared" si="34"/>
        <v>3940736</v>
      </c>
      <c r="N152" s="400">
        <f t="shared" si="34"/>
        <v>0</v>
      </c>
      <c r="O152" s="400">
        <f t="shared" si="34"/>
        <v>0</v>
      </c>
      <c r="P152" s="400">
        <f t="shared" si="34"/>
        <v>116747</v>
      </c>
      <c r="Q152" s="400">
        <f t="shared" si="34"/>
        <v>0</v>
      </c>
      <c r="R152" s="401">
        <f t="shared" si="34"/>
        <v>0</v>
      </c>
      <c r="S152" s="376"/>
      <c r="T152" s="376"/>
      <c r="U152" s="376"/>
      <c r="V152" s="376"/>
      <c r="W152" s="376"/>
      <c r="X152" s="376"/>
      <c r="Y152" s="376"/>
      <c r="Z152" s="376"/>
      <c r="AA152" s="376"/>
      <c r="AB152" s="376"/>
      <c r="AC152" s="376"/>
      <c r="AD152" s="376"/>
      <c r="AE152" s="376"/>
    </row>
    <row r="153" spans="1:31" s="306" customFormat="1" ht="18" customHeight="1" x14ac:dyDescent="0.3">
      <c r="A153" s="279">
        <v>144</v>
      </c>
      <c r="B153" s="1048"/>
      <c r="C153" s="397"/>
      <c r="D153" s="1476"/>
      <c r="E153" s="377" t="s">
        <v>810</v>
      </c>
      <c r="F153" s="398"/>
      <c r="G153" s="398"/>
      <c r="H153" s="398"/>
      <c r="I153" s="1334"/>
      <c r="J153" s="1474">
        <f>SUM(K153:R153)</f>
        <v>12270872</v>
      </c>
      <c r="K153" s="1043">
        <f t="shared" si="34"/>
        <v>6656948</v>
      </c>
      <c r="L153" s="1043">
        <f t="shared" si="34"/>
        <v>971828</v>
      </c>
      <c r="M153" s="1043">
        <f t="shared" si="34"/>
        <v>4409753</v>
      </c>
      <c r="N153" s="1043">
        <f t="shared" si="34"/>
        <v>0</v>
      </c>
      <c r="O153" s="1043">
        <f t="shared" si="34"/>
        <v>0</v>
      </c>
      <c r="P153" s="1043">
        <f t="shared" si="34"/>
        <v>230843</v>
      </c>
      <c r="Q153" s="1043">
        <f t="shared" si="34"/>
        <v>1500</v>
      </c>
      <c r="R153" s="1482">
        <f t="shared" si="34"/>
        <v>0</v>
      </c>
      <c r="S153" s="376"/>
      <c r="T153" s="376"/>
      <c r="U153" s="376"/>
      <c r="V153" s="376"/>
      <c r="W153" s="376"/>
      <c r="X153" s="376"/>
      <c r="Y153" s="376"/>
      <c r="Z153" s="376"/>
      <c r="AA153" s="376"/>
      <c r="AB153" s="376"/>
      <c r="AC153" s="376"/>
      <c r="AD153" s="376"/>
      <c r="AE153" s="376"/>
    </row>
    <row r="154" spans="1:31" s="306" customFormat="1" ht="18" customHeight="1" x14ac:dyDescent="0.3">
      <c r="A154" s="279">
        <v>145</v>
      </c>
      <c r="B154" s="394"/>
      <c r="C154" s="395"/>
      <c r="D154" s="1046"/>
      <c r="E154" s="910" t="s">
        <v>652</v>
      </c>
      <c r="F154" s="396"/>
      <c r="G154" s="396"/>
      <c r="H154" s="396"/>
      <c r="I154" s="1331"/>
      <c r="J154" s="1033">
        <f>SUM(K154:R154)</f>
        <v>344067</v>
      </c>
      <c r="K154" s="405">
        <f t="shared" ref="K154:R154" si="35">K149+K144+K91+K61</f>
        <v>72158</v>
      </c>
      <c r="L154" s="405">
        <f t="shared" si="35"/>
        <v>3750</v>
      </c>
      <c r="M154" s="405">
        <f t="shared" si="35"/>
        <v>208743</v>
      </c>
      <c r="N154" s="405">
        <f t="shared" si="35"/>
        <v>0</v>
      </c>
      <c r="O154" s="405">
        <f t="shared" si="35"/>
        <v>609</v>
      </c>
      <c r="P154" s="405">
        <f t="shared" si="35"/>
        <v>58807</v>
      </c>
      <c r="Q154" s="405">
        <f t="shared" si="35"/>
        <v>0</v>
      </c>
      <c r="R154" s="406">
        <f t="shared" si="35"/>
        <v>0</v>
      </c>
      <c r="S154" s="376"/>
      <c r="T154" s="376"/>
      <c r="U154" s="376"/>
      <c r="V154" s="376"/>
      <c r="W154" s="376"/>
      <c r="X154" s="376"/>
      <c r="Y154" s="376"/>
      <c r="Z154" s="376"/>
      <c r="AA154" s="376"/>
      <c r="AB154" s="376"/>
      <c r="AC154" s="376"/>
      <c r="AD154" s="376"/>
      <c r="AE154" s="376"/>
    </row>
    <row r="155" spans="1:31" s="306" customFormat="1" ht="18" customHeight="1" thickBot="1" x14ac:dyDescent="0.35">
      <c r="A155" s="279">
        <v>146</v>
      </c>
      <c r="B155" s="1047"/>
      <c r="C155" s="1037"/>
      <c r="D155" s="1820"/>
      <c r="E155" s="377" t="s">
        <v>858</v>
      </c>
      <c r="F155" s="1038"/>
      <c r="G155" s="1038"/>
      <c r="H155" s="1038"/>
      <c r="I155" s="1343"/>
      <c r="J155" s="1053">
        <f>SUM(K155:R155)</f>
        <v>12614939</v>
      </c>
      <c r="K155" s="1044">
        <f>SUM(K153:K154)</f>
        <v>6729106</v>
      </c>
      <c r="L155" s="1044">
        <f t="shared" ref="L155:R155" si="36">SUM(L153:L154)</f>
        <v>975578</v>
      </c>
      <c r="M155" s="1044">
        <f t="shared" si="36"/>
        <v>4618496</v>
      </c>
      <c r="N155" s="1044">
        <f t="shared" si="36"/>
        <v>0</v>
      </c>
      <c r="O155" s="1044">
        <f t="shared" si="36"/>
        <v>609</v>
      </c>
      <c r="P155" s="1044">
        <f t="shared" si="36"/>
        <v>289650</v>
      </c>
      <c r="Q155" s="1044">
        <f t="shared" si="36"/>
        <v>1500</v>
      </c>
      <c r="R155" s="1082">
        <f t="shared" si="36"/>
        <v>0</v>
      </c>
      <c r="S155" s="376"/>
      <c r="T155" s="376"/>
      <c r="U155" s="376"/>
      <c r="V155" s="376"/>
      <c r="W155" s="376"/>
      <c r="X155" s="376"/>
      <c r="Y155" s="376"/>
      <c r="Z155" s="376"/>
      <c r="AA155" s="376"/>
      <c r="AB155" s="376"/>
      <c r="AC155" s="376"/>
      <c r="AD155" s="376"/>
      <c r="AE155" s="376"/>
    </row>
    <row r="156" spans="1:31" s="337" customFormat="1" ht="22.5" customHeight="1" x14ac:dyDescent="0.3">
      <c r="A156" s="279">
        <v>147</v>
      </c>
      <c r="B156" s="432">
        <v>17</v>
      </c>
      <c r="C156" s="433"/>
      <c r="D156" s="434" t="s">
        <v>158</v>
      </c>
      <c r="E156" s="435"/>
      <c r="F156" s="349" t="s">
        <v>23</v>
      </c>
      <c r="G156" s="436"/>
      <c r="H156" s="436"/>
      <c r="I156" s="1344"/>
      <c r="J156" s="437"/>
      <c r="K156" s="436"/>
      <c r="L156" s="436"/>
      <c r="M156" s="436"/>
      <c r="N156" s="436"/>
      <c r="O156" s="436"/>
      <c r="P156" s="436"/>
      <c r="Q156" s="436"/>
      <c r="R156" s="438"/>
      <c r="S156" s="379"/>
      <c r="T156" s="379"/>
      <c r="U156" s="379"/>
      <c r="V156" s="379"/>
      <c r="W156" s="379"/>
      <c r="X156" s="379"/>
      <c r="Y156" s="379"/>
      <c r="Z156" s="379"/>
      <c r="AA156" s="379"/>
      <c r="AB156" s="379"/>
      <c r="AC156" s="379"/>
      <c r="AD156" s="379"/>
      <c r="AE156" s="379"/>
    </row>
    <row r="157" spans="1:31" s="440" customFormat="1" ht="19.5" customHeight="1" x14ac:dyDescent="0.3">
      <c r="A157" s="279">
        <v>148</v>
      </c>
      <c r="B157" s="293"/>
      <c r="C157" s="294">
        <v>1</v>
      </c>
      <c r="D157" s="439" t="s">
        <v>127</v>
      </c>
      <c r="E157" s="439"/>
      <c r="F157" s="378"/>
      <c r="G157" s="296">
        <v>1695683</v>
      </c>
      <c r="H157" s="296">
        <v>2049705</v>
      </c>
      <c r="I157" s="1330">
        <v>1966442</v>
      </c>
      <c r="J157" s="393"/>
      <c r="K157" s="296"/>
      <c r="L157" s="296"/>
      <c r="M157" s="296"/>
      <c r="N157" s="296"/>
      <c r="O157" s="296"/>
      <c r="P157" s="296"/>
      <c r="Q157" s="296"/>
      <c r="R157" s="369"/>
      <c r="S157" s="359"/>
      <c r="T157" s="359"/>
      <c r="U157" s="359"/>
      <c r="V157" s="359"/>
      <c r="W157" s="359"/>
      <c r="X157" s="359"/>
      <c r="Y157" s="359"/>
      <c r="Z157" s="359"/>
      <c r="AA157" s="359"/>
      <c r="AB157" s="359"/>
      <c r="AC157" s="359"/>
      <c r="AD157" s="359"/>
    </row>
    <row r="158" spans="1:31" s="318" customFormat="1" ht="18" customHeight="1" x14ac:dyDescent="0.3">
      <c r="A158" s="279">
        <v>149</v>
      </c>
      <c r="B158" s="394"/>
      <c r="C158" s="441"/>
      <c r="D158" s="395"/>
      <c r="E158" s="442" t="s">
        <v>245</v>
      </c>
      <c r="F158" s="443"/>
      <c r="G158" s="443"/>
      <c r="H158" s="443"/>
      <c r="I158" s="1345"/>
      <c r="J158" s="373">
        <f>SUM(K158:R158)</f>
        <v>2249354</v>
      </c>
      <c r="K158" s="374">
        <v>1930110</v>
      </c>
      <c r="L158" s="374">
        <v>286184</v>
      </c>
      <c r="M158" s="374">
        <v>33060</v>
      </c>
      <c r="N158" s="374"/>
      <c r="O158" s="374"/>
      <c r="P158" s="374"/>
      <c r="Q158" s="374"/>
      <c r="R158" s="375"/>
      <c r="S158" s="380"/>
      <c r="T158" s="380"/>
      <c r="U158" s="380"/>
      <c r="V158" s="380"/>
      <c r="W158" s="380"/>
      <c r="X158" s="380"/>
      <c r="Y158" s="380"/>
      <c r="Z158" s="380"/>
      <c r="AA158" s="380"/>
      <c r="AB158" s="380"/>
      <c r="AC158" s="380"/>
      <c r="AD158" s="380"/>
    </row>
    <row r="159" spans="1:31" s="318" customFormat="1" ht="18" customHeight="1" x14ac:dyDescent="0.3">
      <c r="A159" s="279">
        <v>150</v>
      </c>
      <c r="B159" s="394"/>
      <c r="C159" s="441"/>
      <c r="D159" s="1046"/>
      <c r="E159" s="377" t="s">
        <v>810</v>
      </c>
      <c r="F159" s="443"/>
      <c r="G159" s="443"/>
      <c r="H159" s="443"/>
      <c r="I159" s="1345"/>
      <c r="J159" s="368">
        <f>SUM(K159:R159)</f>
        <v>2718539</v>
      </c>
      <c r="K159" s="1034">
        <v>2279030</v>
      </c>
      <c r="L159" s="1034">
        <v>335251</v>
      </c>
      <c r="M159" s="1034">
        <v>104258</v>
      </c>
      <c r="N159" s="374"/>
      <c r="O159" s="374"/>
      <c r="P159" s="374"/>
      <c r="Q159" s="374"/>
      <c r="R159" s="375"/>
      <c r="S159" s="380"/>
      <c r="T159" s="380"/>
      <c r="U159" s="380"/>
      <c r="V159" s="380"/>
      <c r="W159" s="380"/>
      <c r="X159" s="380"/>
      <c r="Y159" s="380"/>
      <c r="Z159" s="380"/>
      <c r="AA159" s="380"/>
      <c r="AB159" s="380"/>
      <c r="AC159" s="380"/>
      <c r="AD159" s="380"/>
    </row>
    <row r="160" spans="1:31" s="318" customFormat="1" ht="18" customHeight="1" x14ac:dyDescent="0.3">
      <c r="A160" s="279">
        <v>151</v>
      </c>
      <c r="B160" s="394"/>
      <c r="C160" s="441"/>
      <c r="D160" s="1046"/>
      <c r="E160" s="910" t="s">
        <v>652</v>
      </c>
      <c r="F160" s="443"/>
      <c r="G160" s="443"/>
      <c r="H160" s="443"/>
      <c r="I160" s="1345"/>
      <c r="J160" s="1033">
        <f>SUM(K160:R160)</f>
        <v>0</v>
      </c>
      <c r="K160" s="405"/>
      <c r="L160" s="405"/>
      <c r="M160" s="405"/>
      <c r="N160" s="374"/>
      <c r="O160" s="374"/>
      <c r="P160" s="374"/>
      <c r="Q160" s="374"/>
      <c r="R160" s="375"/>
      <c r="S160" s="380"/>
      <c r="T160" s="380"/>
      <c r="U160" s="380"/>
      <c r="V160" s="380"/>
      <c r="W160" s="380"/>
      <c r="X160" s="380"/>
      <c r="Y160" s="380"/>
      <c r="Z160" s="380"/>
      <c r="AA160" s="380"/>
      <c r="AB160" s="380"/>
      <c r="AC160" s="380"/>
      <c r="AD160" s="380"/>
    </row>
    <row r="161" spans="1:30" s="318" customFormat="1" ht="18" customHeight="1" x14ac:dyDescent="0.3">
      <c r="A161" s="279">
        <v>152</v>
      </c>
      <c r="B161" s="394"/>
      <c r="C161" s="441"/>
      <c r="D161" s="1046"/>
      <c r="E161" s="377" t="s">
        <v>858</v>
      </c>
      <c r="F161" s="443"/>
      <c r="G161" s="443"/>
      <c r="H161" s="443"/>
      <c r="I161" s="1345"/>
      <c r="J161" s="368">
        <f>SUM(K161:R161)</f>
        <v>2718539</v>
      </c>
      <c r="K161" s="1034">
        <f>SUM(K159:K160)</f>
        <v>2279030</v>
      </c>
      <c r="L161" s="1034">
        <f t="shared" ref="L161:M161" si="37">SUM(L159:L160)</f>
        <v>335251</v>
      </c>
      <c r="M161" s="1034">
        <f t="shared" si="37"/>
        <v>104258</v>
      </c>
      <c r="N161" s="374"/>
      <c r="O161" s="374"/>
      <c r="P161" s="374"/>
      <c r="Q161" s="374"/>
      <c r="R161" s="375"/>
      <c r="S161" s="380"/>
      <c r="T161" s="380"/>
      <c r="U161" s="380"/>
      <c r="V161" s="380"/>
      <c r="W161" s="380"/>
      <c r="X161" s="380"/>
      <c r="Y161" s="380"/>
      <c r="Z161" s="380"/>
      <c r="AA161" s="380"/>
      <c r="AB161" s="380"/>
      <c r="AC161" s="380"/>
      <c r="AD161" s="380"/>
    </row>
    <row r="162" spans="1:30" s="449" customFormat="1" ht="19.5" customHeight="1" x14ac:dyDescent="0.3">
      <c r="A162" s="279">
        <v>153</v>
      </c>
      <c r="B162" s="444"/>
      <c r="C162" s="445"/>
      <c r="D162" s="1905" t="s">
        <v>360</v>
      </c>
      <c r="E162" s="1906"/>
      <c r="F162" s="446"/>
      <c r="G162" s="299">
        <v>5127</v>
      </c>
      <c r="H162" s="299"/>
      <c r="I162" s="1337"/>
      <c r="J162" s="393"/>
      <c r="K162" s="299"/>
      <c r="L162" s="299"/>
      <c r="M162" s="299"/>
      <c r="N162" s="299"/>
      <c r="O162" s="299"/>
      <c r="P162" s="299"/>
      <c r="Q162" s="299"/>
      <c r="R162" s="447"/>
      <c r="S162" s="448"/>
      <c r="T162" s="448"/>
      <c r="U162" s="448"/>
      <c r="V162" s="448"/>
      <c r="W162" s="448"/>
      <c r="X162" s="448"/>
      <c r="Y162" s="448"/>
      <c r="Z162" s="448"/>
      <c r="AA162" s="448"/>
      <c r="AB162" s="448"/>
      <c r="AC162" s="448"/>
      <c r="AD162" s="448"/>
    </row>
    <row r="163" spans="1:30" s="337" customFormat="1" ht="20.100000000000001" customHeight="1" x14ac:dyDescent="0.3">
      <c r="A163" s="279">
        <v>154</v>
      </c>
      <c r="B163" s="293"/>
      <c r="C163" s="294">
        <v>2</v>
      </c>
      <c r="D163" s="439" t="s">
        <v>128</v>
      </c>
      <c r="E163" s="439"/>
      <c r="F163" s="378"/>
      <c r="G163" s="296">
        <v>229634</v>
      </c>
      <c r="H163" s="296">
        <v>372333</v>
      </c>
      <c r="I163" s="1330">
        <v>220802</v>
      </c>
      <c r="J163" s="393"/>
      <c r="K163" s="296"/>
      <c r="L163" s="296"/>
      <c r="M163" s="296"/>
      <c r="N163" s="296"/>
      <c r="O163" s="296"/>
      <c r="P163" s="296"/>
      <c r="Q163" s="296"/>
      <c r="R163" s="369"/>
      <c r="S163" s="379"/>
      <c r="T163" s="379"/>
      <c r="U163" s="379"/>
      <c r="V163" s="379"/>
      <c r="W163" s="379"/>
      <c r="X163" s="379"/>
      <c r="Y163" s="379"/>
      <c r="Z163" s="379"/>
      <c r="AA163" s="379"/>
      <c r="AB163" s="379"/>
      <c r="AC163" s="379"/>
      <c r="AD163" s="379"/>
    </row>
    <row r="164" spans="1:30" s="318" customFormat="1" ht="18" customHeight="1" x14ac:dyDescent="0.3">
      <c r="A164" s="279">
        <v>155</v>
      </c>
      <c r="B164" s="394"/>
      <c r="C164" s="441"/>
      <c r="D164" s="395"/>
      <c r="E164" s="442" t="s">
        <v>245</v>
      </c>
      <c r="F164" s="443"/>
      <c r="G164" s="443"/>
      <c r="H164" s="443"/>
      <c r="I164" s="1345"/>
      <c r="J164" s="373">
        <f t="shared" ref="J164:J167" si="38">SUM(K164:R164)</f>
        <v>429853</v>
      </c>
      <c r="K164" s="374">
        <v>15300</v>
      </c>
      <c r="L164" s="374">
        <v>6130</v>
      </c>
      <c r="M164" s="374">
        <v>302376</v>
      </c>
      <c r="N164" s="374"/>
      <c r="O164" s="374"/>
      <c r="P164" s="374">
        <v>106047</v>
      </c>
      <c r="Q164" s="374"/>
      <c r="R164" s="375"/>
      <c r="S164" s="380"/>
      <c r="T164" s="380"/>
      <c r="U164" s="380"/>
      <c r="V164" s="380"/>
      <c r="W164" s="380"/>
      <c r="X164" s="380"/>
      <c r="Y164" s="380"/>
      <c r="Z164" s="380"/>
      <c r="AA164" s="380"/>
      <c r="AB164" s="380"/>
      <c r="AC164" s="380"/>
      <c r="AD164" s="380"/>
    </row>
    <row r="165" spans="1:30" s="318" customFormat="1" ht="18" customHeight="1" x14ac:dyDescent="0.3">
      <c r="A165" s="279">
        <v>156</v>
      </c>
      <c r="B165" s="394"/>
      <c r="C165" s="441"/>
      <c r="D165" s="1046"/>
      <c r="E165" s="377" t="s">
        <v>810</v>
      </c>
      <c r="F165" s="443"/>
      <c r="G165" s="443"/>
      <c r="H165" s="443"/>
      <c r="I165" s="1345"/>
      <c r="J165" s="368">
        <f t="shared" si="38"/>
        <v>735030</v>
      </c>
      <c r="K165" s="1034">
        <v>16128</v>
      </c>
      <c r="L165" s="1034">
        <v>6661</v>
      </c>
      <c r="M165" s="1034">
        <v>541877</v>
      </c>
      <c r="N165" s="1034"/>
      <c r="O165" s="1034"/>
      <c r="P165" s="1034">
        <v>170364</v>
      </c>
      <c r="Q165" s="374"/>
      <c r="R165" s="375"/>
      <c r="S165" s="380"/>
      <c r="T165" s="380"/>
      <c r="U165" s="380"/>
      <c r="V165" s="380"/>
      <c r="W165" s="380"/>
      <c r="X165" s="380"/>
      <c r="Y165" s="380"/>
      <c r="Z165" s="380"/>
      <c r="AA165" s="380"/>
      <c r="AB165" s="380"/>
      <c r="AC165" s="380"/>
      <c r="AD165" s="380"/>
    </row>
    <row r="166" spans="1:30" s="318" customFormat="1" ht="18" customHeight="1" x14ac:dyDescent="0.3">
      <c r="A166" s="279">
        <v>157</v>
      </c>
      <c r="B166" s="394"/>
      <c r="C166" s="441"/>
      <c r="D166" s="1046"/>
      <c r="E166" s="910" t="s">
        <v>652</v>
      </c>
      <c r="F166" s="443"/>
      <c r="G166" s="443"/>
      <c r="H166" s="443"/>
      <c r="I166" s="1345"/>
      <c r="J166" s="1033">
        <f t="shared" si="38"/>
        <v>0</v>
      </c>
      <c r="K166" s="405"/>
      <c r="L166" s="405"/>
      <c r="M166" s="405"/>
      <c r="N166" s="405"/>
      <c r="O166" s="405"/>
      <c r="P166" s="405"/>
      <c r="Q166" s="405"/>
      <c r="R166" s="406"/>
      <c r="S166" s="380"/>
      <c r="T166" s="380"/>
      <c r="U166" s="380"/>
      <c r="V166" s="380"/>
      <c r="W166" s="380"/>
      <c r="X166" s="380"/>
      <c r="Y166" s="380"/>
      <c r="Z166" s="380"/>
      <c r="AA166" s="380"/>
      <c r="AB166" s="380"/>
      <c r="AC166" s="380"/>
      <c r="AD166" s="380"/>
    </row>
    <row r="167" spans="1:30" s="318" customFormat="1" ht="18" customHeight="1" x14ac:dyDescent="0.3">
      <c r="A167" s="279">
        <v>158</v>
      </c>
      <c r="B167" s="394"/>
      <c r="C167" s="441"/>
      <c r="D167" s="1046"/>
      <c r="E167" s="377" t="s">
        <v>858</v>
      </c>
      <c r="F167" s="443"/>
      <c r="G167" s="443"/>
      <c r="H167" s="443"/>
      <c r="I167" s="1345"/>
      <c r="J167" s="368">
        <f t="shared" si="38"/>
        <v>735030</v>
      </c>
      <c r="K167" s="1034">
        <f>SUM(K165:K166)</f>
        <v>16128</v>
      </c>
      <c r="L167" s="1034">
        <f>SUM(L165:L166)</f>
        <v>6661</v>
      </c>
      <c r="M167" s="1034">
        <f>SUM(M165:M166)</f>
        <v>541877</v>
      </c>
      <c r="N167" s="1034"/>
      <c r="O167" s="1034"/>
      <c r="P167" s="1034">
        <f>SUM(P165:P166)</f>
        <v>170364</v>
      </c>
      <c r="Q167" s="374"/>
      <c r="R167" s="375"/>
      <c r="S167" s="380"/>
      <c r="T167" s="380"/>
      <c r="U167" s="380"/>
      <c r="V167" s="380"/>
      <c r="W167" s="380"/>
      <c r="X167" s="380"/>
      <c r="Y167" s="380"/>
      <c r="Z167" s="380"/>
      <c r="AA167" s="380"/>
      <c r="AB167" s="380"/>
      <c r="AC167" s="380"/>
      <c r="AD167" s="380"/>
    </row>
    <row r="168" spans="1:30" s="337" customFormat="1" ht="20.100000000000001" customHeight="1" x14ac:dyDescent="0.3">
      <c r="A168" s="279">
        <v>159</v>
      </c>
      <c r="B168" s="293"/>
      <c r="C168" s="294">
        <v>3</v>
      </c>
      <c r="D168" s="439" t="s">
        <v>31</v>
      </c>
      <c r="E168" s="439"/>
      <c r="F168" s="378"/>
      <c r="G168" s="296">
        <v>91156</v>
      </c>
      <c r="H168" s="296">
        <v>147522</v>
      </c>
      <c r="I168" s="1330">
        <v>106296</v>
      </c>
      <c r="J168" s="393"/>
      <c r="K168" s="296"/>
      <c r="L168" s="296"/>
      <c r="M168" s="296"/>
      <c r="N168" s="296"/>
      <c r="O168" s="296"/>
      <c r="P168" s="296"/>
      <c r="Q168" s="296"/>
      <c r="R168" s="369"/>
      <c r="S168" s="379"/>
      <c r="T168" s="379"/>
      <c r="U168" s="379"/>
      <c r="V168" s="379"/>
      <c r="W168" s="379"/>
      <c r="X168" s="379"/>
      <c r="Y168" s="379"/>
      <c r="Z168" s="379"/>
      <c r="AA168" s="379"/>
      <c r="AB168" s="379"/>
      <c r="AC168" s="379"/>
      <c r="AD168" s="379"/>
    </row>
    <row r="169" spans="1:30" s="318" customFormat="1" ht="18" customHeight="1" x14ac:dyDescent="0.3">
      <c r="A169" s="279">
        <v>160</v>
      </c>
      <c r="B169" s="394"/>
      <c r="C169" s="441"/>
      <c r="D169" s="395"/>
      <c r="E169" s="442" t="s">
        <v>245</v>
      </c>
      <c r="F169" s="443"/>
      <c r="G169" s="443"/>
      <c r="H169" s="443"/>
      <c r="I169" s="1345"/>
      <c r="J169" s="373">
        <f>SUM(K169:R169)</f>
        <v>170923</v>
      </c>
      <c r="K169" s="374"/>
      <c r="L169" s="374"/>
      <c r="M169" s="374">
        <v>146023</v>
      </c>
      <c r="N169" s="374"/>
      <c r="O169" s="374"/>
      <c r="P169" s="374">
        <v>24900</v>
      </c>
      <c r="Q169" s="374"/>
      <c r="R169" s="375"/>
      <c r="S169" s="380"/>
      <c r="T169" s="380"/>
      <c r="U169" s="380"/>
      <c r="V169" s="380"/>
      <c r="W169" s="380"/>
      <c r="X169" s="380"/>
      <c r="Y169" s="380"/>
      <c r="Z169" s="380"/>
      <c r="AA169" s="380"/>
      <c r="AB169" s="380"/>
      <c r="AC169" s="380"/>
      <c r="AD169" s="380"/>
    </row>
    <row r="170" spans="1:30" s="318" customFormat="1" ht="18" customHeight="1" x14ac:dyDescent="0.3">
      <c r="A170" s="279">
        <v>161</v>
      </c>
      <c r="B170" s="1048"/>
      <c r="C170" s="441"/>
      <c r="D170" s="1046"/>
      <c r="E170" s="377" t="s">
        <v>810</v>
      </c>
      <c r="F170" s="915"/>
      <c r="G170" s="915"/>
      <c r="H170" s="915"/>
      <c r="I170" s="1346"/>
      <c r="J170" s="368">
        <f>SUM(K170:R170)</f>
        <v>257434</v>
      </c>
      <c r="K170" s="1061"/>
      <c r="L170" s="1061"/>
      <c r="M170" s="1061">
        <v>207151</v>
      </c>
      <c r="N170" s="1061"/>
      <c r="O170" s="1061"/>
      <c r="P170" s="1061">
        <v>50283</v>
      </c>
      <c r="Q170" s="1022"/>
      <c r="R170" s="1023"/>
      <c r="S170" s="380"/>
      <c r="T170" s="380"/>
      <c r="U170" s="380"/>
      <c r="V170" s="380"/>
      <c r="W170" s="380"/>
      <c r="X170" s="380"/>
      <c r="Y170" s="380"/>
      <c r="Z170" s="380"/>
      <c r="AA170" s="380"/>
      <c r="AB170" s="380"/>
      <c r="AC170" s="380"/>
      <c r="AD170" s="380"/>
    </row>
    <row r="171" spans="1:30" s="318" customFormat="1" ht="18" customHeight="1" x14ac:dyDescent="0.3">
      <c r="A171" s="279">
        <v>162</v>
      </c>
      <c r="B171" s="1048"/>
      <c r="C171" s="441"/>
      <c r="D171" s="1046"/>
      <c r="E171" s="910" t="s">
        <v>652</v>
      </c>
      <c r="F171" s="915"/>
      <c r="G171" s="915"/>
      <c r="H171" s="915"/>
      <c r="I171" s="1346"/>
      <c r="J171" s="1033">
        <f>SUM(K171:R171)</f>
        <v>0</v>
      </c>
      <c r="K171" s="1062"/>
      <c r="L171" s="1062"/>
      <c r="M171" s="1062"/>
      <c r="N171" s="1062"/>
      <c r="O171" s="1062"/>
      <c r="P171" s="1062"/>
      <c r="Q171" s="1062"/>
      <c r="R171" s="1063"/>
      <c r="S171" s="380"/>
      <c r="T171" s="380"/>
      <c r="U171" s="380"/>
      <c r="V171" s="380"/>
      <c r="W171" s="380"/>
      <c r="X171" s="380"/>
      <c r="Y171" s="380"/>
      <c r="Z171" s="380"/>
      <c r="AA171" s="380"/>
      <c r="AB171" s="380"/>
      <c r="AC171" s="380"/>
      <c r="AD171" s="380"/>
    </row>
    <row r="172" spans="1:30" s="318" customFormat="1" ht="18" customHeight="1" x14ac:dyDescent="0.3">
      <c r="A172" s="279">
        <v>163</v>
      </c>
      <c r="B172" s="1048"/>
      <c r="C172" s="441"/>
      <c r="D172" s="1046"/>
      <c r="E172" s="377" t="s">
        <v>858</v>
      </c>
      <c r="F172" s="915"/>
      <c r="G172" s="915"/>
      <c r="H172" s="915"/>
      <c r="I172" s="1346"/>
      <c r="J172" s="368">
        <f>SUM(K172:R172)</f>
        <v>257434</v>
      </c>
      <c r="K172" s="1022"/>
      <c r="L172" s="1022"/>
      <c r="M172" s="1061">
        <f>SUM(M170:M171)</f>
        <v>207151</v>
      </c>
      <c r="N172" s="1061"/>
      <c r="O172" s="1061"/>
      <c r="P172" s="1061">
        <f t="shared" ref="P172" si="39">SUM(P170:P171)</f>
        <v>50283</v>
      </c>
      <c r="Q172" s="1022"/>
      <c r="R172" s="1023"/>
      <c r="S172" s="380"/>
      <c r="T172" s="380"/>
      <c r="U172" s="380"/>
      <c r="V172" s="380"/>
      <c r="W172" s="380"/>
      <c r="X172" s="380"/>
      <c r="Y172" s="380"/>
      <c r="Z172" s="380"/>
      <c r="AA172" s="380"/>
      <c r="AB172" s="380"/>
      <c r="AC172" s="380"/>
      <c r="AD172" s="380"/>
    </row>
    <row r="173" spans="1:30" s="457" customFormat="1" ht="44.25" customHeight="1" x14ac:dyDescent="0.3">
      <c r="A173" s="279">
        <v>164</v>
      </c>
      <c r="B173" s="352"/>
      <c r="C173" s="336">
        <v>76</v>
      </c>
      <c r="D173" s="1907" t="s">
        <v>402</v>
      </c>
      <c r="E173" s="1908"/>
      <c r="F173" s="554"/>
      <c r="G173" s="290">
        <v>1366</v>
      </c>
      <c r="H173" s="290">
        <v>329</v>
      </c>
      <c r="I173" s="1329">
        <v>2981</v>
      </c>
      <c r="J173" s="555"/>
      <c r="K173" s="556"/>
      <c r="L173" s="556"/>
      <c r="M173" s="556"/>
      <c r="N173" s="556"/>
      <c r="O173" s="556"/>
      <c r="P173" s="556"/>
      <c r="Q173" s="556"/>
      <c r="R173" s="557"/>
      <c r="S173" s="456"/>
      <c r="T173" s="456"/>
      <c r="U173" s="456"/>
      <c r="V173" s="456"/>
      <c r="W173" s="456"/>
      <c r="X173" s="456"/>
      <c r="Y173" s="456"/>
      <c r="Z173" s="456"/>
      <c r="AA173" s="456"/>
      <c r="AB173" s="456"/>
      <c r="AC173" s="456"/>
      <c r="AD173" s="456"/>
    </row>
    <row r="174" spans="1:30" s="457" customFormat="1" ht="19.5" customHeight="1" x14ac:dyDescent="0.3">
      <c r="A174" s="279">
        <v>165</v>
      </c>
      <c r="B174" s="352"/>
      <c r="C174" s="294"/>
      <c r="D174" s="455"/>
      <c r="E174" s="442" t="s">
        <v>245</v>
      </c>
      <c r="F174" s="554"/>
      <c r="G174" s="290"/>
      <c r="H174" s="290"/>
      <c r="I174" s="1329"/>
      <c r="J174" s="373">
        <f>SUM(K174:R174)</f>
        <v>348</v>
      </c>
      <c r="K174" s="556">
        <v>308</v>
      </c>
      <c r="L174" s="556">
        <v>40</v>
      </c>
      <c r="M174" s="556"/>
      <c r="N174" s="556"/>
      <c r="O174" s="556"/>
      <c r="P174" s="556"/>
      <c r="Q174" s="556"/>
      <c r="R174" s="557"/>
      <c r="S174" s="456"/>
      <c r="T174" s="456"/>
      <c r="U174" s="456"/>
      <c r="V174" s="456"/>
      <c r="W174" s="456"/>
      <c r="X174" s="456"/>
      <c r="Y174" s="456"/>
      <c r="Z174" s="456"/>
      <c r="AA174" s="456"/>
      <c r="AB174" s="456"/>
      <c r="AC174" s="456"/>
      <c r="AD174" s="456"/>
    </row>
    <row r="175" spans="1:30" s="457" customFormat="1" ht="18" customHeight="1" x14ac:dyDescent="0.3">
      <c r="A175" s="279">
        <v>166</v>
      </c>
      <c r="B175" s="352"/>
      <c r="C175" s="294"/>
      <c r="D175" s="455"/>
      <c r="E175" s="377" t="s">
        <v>810</v>
      </c>
      <c r="F175" s="554"/>
      <c r="G175" s="290"/>
      <c r="H175" s="290"/>
      <c r="I175" s="1329"/>
      <c r="J175" s="368">
        <f>SUM(K175:R175)</f>
        <v>4224</v>
      </c>
      <c r="K175" s="1061">
        <v>3738</v>
      </c>
      <c r="L175" s="1061">
        <v>486</v>
      </c>
      <c r="M175" s="556"/>
      <c r="N175" s="556"/>
      <c r="O175" s="556"/>
      <c r="P175" s="556"/>
      <c r="Q175" s="556"/>
      <c r="R175" s="557"/>
      <c r="S175" s="456"/>
      <c r="T175" s="456"/>
      <c r="U175" s="456"/>
      <c r="V175" s="456"/>
      <c r="W175" s="456"/>
      <c r="X175" s="456"/>
      <c r="Y175" s="456"/>
      <c r="Z175" s="456"/>
      <c r="AA175" s="456"/>
      <c r="AB175" s="456"/>
      <c r="AC175" s="456"/>
      <c r="AD175" s="456"/>
    </row>
    <row r="176" spans="1:30" s="457" customFormat="1" ht="19.5" customHeight="1" x14ac:dyDescent="0.3">
      <c r="A176" s="279">
        <v>167</v>
      </c>
      <c r="B176" s="352"/>
      <c r="C176" s="294"/>
      <c r="D176" s="455"/>
      <c r="E176" s="910" t="s">
        <v>652</v>
      </c>
      <c r="F176" s="554"/>
      <c r="G176" s="290"/>
      <c r="H176" s="290"/>
      <c r="I176" s="1329"/>
      <c r="J176" s="1033">
        <f>SUM(K176:R176)</f>
        <v>0</v>
      </c>
      <c r="K176" s="1314"/>
      <c r="L176" s="1314"/>
      <c r="M176" s="556"/>
      <c r="N176" s="556"/>
      <c r="O176" s="556"/>
      <c r="P176" s="556"/>
      <c r="Q176" s="556"/>
      <c r="R176" s="557"/>
      <c r="S176" s="456"/>
      <c r="T176" s="456"/>
      <c r="U176" s="456"/>
      <c r="V176" s="456"/>
      <c r="W176" s="456"/>
      <c r="X176" s="456"/>
      <c r="Y176" s="456"/>
      <c r="Z176" s="456"/>
      <c r="AA176" s="456"/>
      <c r="AB176" s="456"/>
      <c r="AC176" s="456"/>
      <c r="AD176" s="456"/>
    </row>
    <row r="177" spans="1:30" s="457" customFormat="1" ht="19.5" customHeight="1" x14ac:dyDescent="0.3">
      <c r="A177" s="279">
        <v>168</v>
      </c>
      <c r="B177" s="352"/>
      <c r="C177" s="294"/>
      <c r="D177" s="455"/>
      <c r="E177" s="377" t="s">
        <v>858</v>
      </c>
      <c r="F177" s="554"/>
      <c r="G177" s="290"/>
      <c r="H177" s="290"/>
      <c r="I177" s="1329"/>
      <c r="J177" s="368">
        <f>SUM(K177:R177)</f>
        <v>4224</v>
      </c>
      <c r="K177" s="1061">
        <f>SUM(K175:K176)</f>
        <v>3738</v>
      </c>
      <c r="L177" s="1061">
        <f>SUM(L175:L176)</f>
        <v>486</v>
      </c>
      <c r="M177" s="556"/>
      <c r="N177" s="556"/>
      <c r="O177" s="556"/>
      <c r="P177" s="556"/>
      <c r="Q177" s="556"/>
      <c r="R177" s="557"/>
      <c r="S177" s="456"/>
      <c r="T177" s="456"/>
      <c r="U177" s="456"/>
      <c r="V177" s="456"/>
      <c r="W177" s="456"/>
      <c r="X177" s="456"/>
      <c r="Y177" s="456"/>
      <c r="Z177" s="456"/>
      <c r="AA177" s="456"/>
      <c r="AB177" s="456"/>
      <c r="AC177" s="456"/>
      <c r="AD177" s="456"/>
    </row>
    <row r="178" spans="1:30" s="457" customFormat="1" ht="60" customHeight="1" x14ac:dyDescent="0.3">
      <c r="A178" s="279">
        <v>169</v>
      </c>
      <c r="B178" s="352"/>
      <c r="C178" s="336">
        <v>77</v>
      </c>
      <c r="D178" s="1883" t="s">
        <v>403</v>
      </c>
      <c r="E178" s="1883"/>
      <c r="F178" s="554"/>
      <c r="G178" s="290">
        <v>1302</v>
      </c>
      <c r="H178" s="290">
        <v>258</v>
      </c>
      <c r="I178" s="1329">
        <v>3757</v>
      </c>
      <c r="J178" s="555"/>
      <c r="K178" s="556"/>
      <c r="L178" s="556"/>
      <c r="M178" s="556"/>
      <c r="N178" s="556"/>
      <c r="O178" s="556"/>
      <c r="P178" s="556"/>
      <c r="Q178" s="556"/>
      <c r="R178" s="557"/>
      <c r="S178" s="456"/>
      <c r="T178" s="456"/>
      <c r="U178" s="456"/>
      <c r="V178" s="456"/>
      <c r="W178" s="456"/>
      <c r="X178" s="456"/>
      <c r="Y178" s="456"/>
      <c r="Z178" s="456"/>
      <c r="AA178" s="456"/>
      <c r="AB178" s="456"/>
      <c r="AC178" s="456"/>
      <c r="AD178" s="456"/>
    </row>
    <row r="179" spans="1:30" s="457" customFormat="1" ht="19.5" customHeight="1" x14ac:dyDescent="0.3">
      <c r="A179" s="279">
        <v>170</v>
      </c>
      <c r="B179" s="352"/>
      <c r="C179" s="553"/>
      <c r="D179" s="455"/>
      <c r="E179" s="442" t="s">
        <v>245</v>
      </c>
      <c r="F179" s="554"/>
      <c r="G179" s="290"/>
      <c r="H179" s="290"/>
      <c r="I179" s="1329"/>
      <c r="J179" s="373">
        <f>SUM(K179:R179)</f>
        <v>501</v>
      </c>
      <c r="K179" s="556">
        <v>443</v>
      </c>
      <c r="L179" s="556">
        <v>58</v>
      </c>
      <c r="M179" s="556"/>
      <c r="N179" s="556"/>
      <c r="O179" s="556"/>
      <c r="P179" s="556"/>
      <c r="Q179" s="556"/>
      <c r="R179" s="557"/>
      <c r="S179" s="456"/>
      <c r="T179" s="456"/>
      <c r="U179" s="456"/>
      <c r="V179" s="456"/>
      <c r="W179" s="456"/>
      <c r="X179" s="456"/>
      <c r="Y179" s="456"/>
      <c r="Z179" s="456"/>
      <c r="AA179" s="456"/>
      <c r="AB179" s="456"/>
      <c r="AC179" s="456"/>
      <c r="AD179" s="456"/>
    </row>
    <row r="180" spans="1:30" s="457" customFormat="1" ht="18" customHeight="1" x14ac:dyDescent="0.3">
      <c r="A180" s="279">
        <v>171</v>
      </c>
      <c r="B180" s="352"/>
      <c r="C180" s="553"/>
      <c r="D180" s="455"/>
      <c r="E180" s="377" t="s">
        <v>810</v>
      </c>
      <c r="F180" s="554"/>
      <c r="G180" s="290"/>
      <c r="H180" s="290"/>
      <c r="I180" s="1329"/>
      <c r="J180" s="368">
        <f>SUM(K180:R180)</f>
        <v>3769</v>
      </c>
      <c r="K180" s="1064">
        <v>3335</v>
      </c>
      <c r="L180" s="1064">
        <v>434</v>
      </c>
      <c r="M180" s="556"/>
      <c r="N180" s="556"/>
      <c r="O180" s="556"/>
      <c r="P180" s="556"/>
      <c r="Q180" s="556"/>
      <c r="R180" s="557"/>
      <c r="S180" s="456"/>
      <c r="T180" s="456"/>
      <c r="U180" s="456"/>
      <c r="V180" s="456"/>
      <c r="W180" s="456"/>
      <c r="X180" s="456"/>
      <c r="Y180" s="456"/>
      <c r="Z180" s="456"/>
      <c r="AA180" s="456"/>
      <c r="AB180" s="456"/>
      <c r="AC180" s="456"/>
      <c r="AD180" s="456"/>
    </row>
    <row r="181" spans="1:30" s="457" customFormat="1" ht="19.5" customHeight="1" x14ac:dyDescent="0.3">
      <c r="A181" s="279">
        <v>172</v>
      </c>
      <c r="B181" s="352"/>
      <c r="C181" s="553"/>
      <c r="D181" s="455"/>
      <c r="E181" s="910" t="s">
        <v>652</v>
      </c>
      <c r="F181" s="554"/>
      <c r="G181" s="290"/>
      <c r="H181" s="290"/>
      <c r="I181" s="1329"/>
      <c r="J181" s="1033">
        <f>SUM(K181:R181)</f>
        <v>0</v>
      </c>
      <c r="K181" s="1314"/>
      <c r="L181" s="1314"/>
      <c r="M181" s="556"/>
      <c r="N181" s="556"/>
      <c r="O181" s="556"/>
      <c r="P181" s="556"/>
      <c r="Q181" s="556"/>
      <c r="R181" s="557"/>
      <c r="S181" s="456"/>
      <c r="T181" s="456"/>
      <c r="U181" s="456"/>
      <c r="V181" s="456"/>
      <c r="W181" s="456"/>
      <c r="X181" s="456"/>
      <c r="Y181" s="456"/>
      <c r="Z181" s="456"/>
      <c r="AA181" s="456"/>
      <c r="AB181" s="456"/>
      <c r="AC181" s="456"/>
      <c r="AD181" s="456"/>
    </row>
    <row r="182" spans="1:30" s="457" customFormat="1" ht="19.5" customHeight="1" x14ac:dyDescent="0.3">
      <c r="A182" s="279">
        <v>173</v>
      </c>
      <c r="B182" s="352"/>
      <c r="C182" s="553"/>
      <c r="D182" s="455"/>
      <c r="E182" s="377" t="s">
        <v>858</v>
      </c>
      <c r="F182" s="554"/>
      <c r="G182" s="290"/>
      <c r="H182" s="290"/>
      <c r="I182" s="1329"/>
      <c r="J182" s="368">
        <f>SUM(K182:R182)</f>
        <v>3769</v>
      </c>
      <c r="K182" s="1064">
        <f>SUM(K180:K181)</f>
        <v>3335</v>
      </c>
      <c r="L182" s="1064">
        <f>SUM(L180:L181)</f>
        <v>434</v>
      </c>
      <c r="M182" s="556"/>
      <c r="N182" s="556"/>
      <c r="O182" s="556"/>
      <c r="P182" s="556"/>
      <c r="Q182" s="556"/>
      <c r="R182" s="557"/>
      <c r="S182" s="456"/>
      <c r="T182" s="456"/>
      <c r="U182" s="456"/>
      <c r="V182" s="456"/>
      <c r="W182" s="456"/>
      <c r="X182" s="456"/>
      <c r="Y182" s="456"/>
      <c r="Z182" s="456"/>
      <c r="AA182" s="456"/>
      <c r="AB182" s="456"/>
      <c r="AC182" s="456"/>
      <c r="AD182" s="456"/>
    </row>
    <row r="183" spans="1:30" s="457" customFormat="1" ht="30" customHeight="1" x14ac:dyDescent="0.3">
      <c r="A183" s="279">
        <v>174</v>
      </c>
      <c r="B183" s="352"/>
      <c r="C183" s="336">
        <v>80</v>
      </c>
      <c r="D183" s="1883" t="s">
        <v>594</v>
      </c>
      <c r="E183" s="1883"/>
      <c r="F183" s="554"/>
      <c r="G183" s="290"/>
      <c r="H183" s="290">
        <v>4550</v>
      </c>
      <c r="I183" s="1329">
        <v>39173</v>
      </c>
      <c r="J183" s="555"/>
      <c r="K183" s="556"/>
      <c r="L183" s="556"/>
      <c r="M183" s="556"/>
      <c r="N183" s="556"/>
      <c r="O183" s="556"/>
      <c r="P183" s="556"/>
      <c r="Q183" s="556"/>
      <c r="R183" s="557"/>
      <c r="S183" s="456"/>
      <c r="T183" s="456"/>
      <c r="U183" s="456"/>
      <c r="V183" s="456"/>
      <c r="W183" s="456"/>
      <c r="X183" s="456"/>
      <c r="Y183" s="456"/>
      <c r="Z183" s="456"/>
      <c r="AA183" s="456"/>
      <c r="AB183" s="456"/>
      <c r="AC183" s="456"/>
      <c r="AD183" s="456"/>
    </row>
    <row r="184" spans="1:30" s="457" customFormat="1" ht="19.5" customHeight="1" x14ac:dyDescent="0.3">
      <c r="A184" s="279">
        <v>175</v>
      </c>
      <c r="B184" s="352"/>
      <c r="C184" s="553"/>
      <c r="D184" s="455"/>
      <c r="E184" s="442" t="s">
        <v>245</v>
      </c>
      <c r="F184" s="554"/>
      <c r="G184" s="290"/>
      <c r="H184" s="290"/>
      <c r="I184" s="1329"/>
      <c r="J184" s="373">
        <f>SUM(K184:R184)</f>
        <v>3569</v>
      </c>
      <c r="K184" s="556">
        <v>2725</v>
      </c>
      <c r="L184" s="556">
        <v>419</v>
      </c>
      <c r="M184" s="556">
        <v>425</v>
      </c>
      <c r="N184" s="556"/>
      <c r="O184" s="556"/>
      <c r="P184" s="556"/>
      <c r="Q184" s="556"/>
      <c r="R184" s="557"/>
      <c r="S184" s="456"/>
      <c r="T184" s="456"/>
      <c r="U184" s="456"/>
      <c r="V184" s="456"/>
      <c r="W184" s="456"/>
      <c r="X184" s="456"/>
      <c r="Y184" s="456"/>
      <c r="Z184" s="456"/>
      <c r="AA184" s="456"/>
      <c r="AB184" s="456"/>
      <c r="AC184" s="456"/>
      <c r="AD184" s="456"/>
    </row>
    <row r="185" spans="1:30" s="457" customFormat="1" ht="18" customHeight="1" x14ac:dyDescent="0.3">
      <c r="A185" s="279">
        <v>176</v>
      </c>
      <c r="B185" s="352"/>
      <c r="C185" s="553"/>
      <c r="D185" s="455"/>
      <c r="E185" s="377" t="s">
        <v>810</v>
      </c>
      <c r="F185" s="554"/>
      <c r="G185" s="290"/>
      <c r="H185" s="290"/>
      <c r="I185" s="1329"/>
      <c r="J185" s="1477">
        <f>SUM(K185:R185)</f>
        <v>3569</v>
      </c>
      <c r="K185" s="1064">
        <v>2725</v>
      </c>
      <c r="L185" s="1064">
        <v>419</v>
      </c>
      <c r="M185" s="1064">
        <v>425</v>
      </c>
      <c r="N185" s="556"/>
      <c r="O185" s="556"/>
      <c r="P185" s="556"/>
      <c r="Q185" s="556"/>
      <c r="R185" s="557"/>
      <c r="S185" s="456"/>
      <c r="T185" s="456"/>
      <c r="U185" s="456"/>
      <c r="V185" s="456"/>
      <c r="W185" s="456"/>
      <c r="X185" s="456"/>
      <c r="Y185" s="456"/>
      <c r="Z185" s="456"/>
      <c r="AA185" s="456"/>
      <c r="AB185" s="456"/>
      <c r="AC185" s="456"/>
      <c r="AD185" s="456"/>
    </row>
    <row r="186" spans="1:30" s="457" customFormat="1" ht="19.5" customHeight="1" x14ac:dyDescent="0.3">
      <c r="A186" s="279">
        <v>177</v>
      </c>
      <c r="B186" s="352"/>
      <c r="C186" s="553"/>
      <c r="D186" s="455"/>
      <c r="E186" s="910" t="s">
        <v>652</v>
      </c>
      <c r="F186" s="554"/>
      <c r="G186" s="290"/>
      <c r="H186" s="290"/>
      <c r="I186" s="1329"/>
      <c r="J186" s="1033">
        <f>SUM(K186:R186)</f>
        <v>0</v>
      </c>
      <c r="K186" s="1065"/>
      <c r="L186" s="1065"/>
      <c r="M186" s="1065"/>
      <c r="N186" s="556"/>
      <c r="O186" s="556"/>
      <c r="P186" s="556"/>
      <c r="Q186" s="556"/>
      <c r="R186" s="557"/>
      <c r="S186" s="456"/>
      <c r="T186" s="456"/>
      <c r="U186" s="456"/>
      <c r="V186" s="456"/>
      <c r="W186" s="456"/>
      <c r="X186" s="456"/>
      <c r="Y186" s="456"/>
      <c r="Z186" s="456"/>
      <c r="AA186" s="456"/>
      <c r="AB186" s="456"/>
      <c r="AC186" s="456"/>
      <c r="AD186" s="456"/>
    </row>
    <row r="187" spans="1:30" s="457" customFormat="1" ht="19.5" customHeight="1" x14ac:dyDescent="0.3">
      <c r="A187" s="279">
        <v>178</v>
      </c>
      <c r="B187" s="352"/>
      <c r="C187" s="553"/>
      <c r="D187" s="455"/>
      <c r="E187" s="377" t="s">
        <v>858</v>
      </c>
      <c r="F187" s="554"/>
      <c r="G187" s="290"/>
      <c r="H187" s="290"/>
      <c r="I187" s="1329"/>
      <c r="J187" s="368">
        <f>SUM(K187:R187)</f>
        <v>3569</v>
      </c>
      <c r="K187" s="1064">
        <f>SUM(K185:K186)</f>
        <v>2725</v>
      </c>
      <c r="L187" s="1064">
        <f t="shared" ref="L187:M187" si="40">SUM(L185:L186)</f>
        <v>419</v>
      </c>
      <c r="M187" s="1064">
        <f t="shared" si="40"/>
        <v>425</v>
      </c>
      <c r="N187" s="556"/>
      <c r="O187" s="556"/>
      <c r="P187" s="556"/>
      <c r="Q187" s="556"/>
      <c r="R187" s="557"/>
      <c r="S187" s="456"/>
      <c r="T187" s="456"/>
      <c r="U187" s="456"/>
      <c r="V187" s="456"/>
      <c r="W187" s="456"/>
      <c r="X187" s="456"/>
      <c r="Y187" s="456"/>
      <c r="Z187" s="456"/>
      <c r="AA187" s="456"/>
      <c r="AB187" s="456"/>
      <c r="AC187" s="456"/>
      <c r="AD187" s="456"/>
    </row>
    <row r="188" spans="1:30" s="457" customFormat="1" ht="19.5" customHeight="1" x14ac:dyDescent="0.3">
      <c r="A188" s="279">
        <v>179</v>
      </c>
      <c r="B188" s="352"/>
      <c r="C188" s="294">
        <v>81</v>
      </c>
      <c r="D188" s="1883" t="s">
        <v>407</v>
      </c>
      <c r="E188" s="1883"/>
      <c r="F188" s="554"/>
      <c r="G188" s="290"/>
      <c r="H188" s="290"/>
      <c r="I188" s="1329">
        <v>12196</v>
      </c>
      <c r="J188" s="555"/>
      <c r="K188" s="556"/>
      <c r="L188" s="556"/>
      <c r="M188" s="556"/>
      <c r="N188" s="556"/>
      <c r="O188" s="556"/>
      <c r="P188" s="556"/>
      <c r="Q188" s="556"/>
      <c r="R188" s="557"/>
      <c r="S188" s="456"/>
      <c r="T188" s="456"/>
      <c r="U188" s="456"/>
      <c r="V188" s="456"/>
      <c r="W188" s="456"/>
      <c r="X188" s="456"/>
      <c r="Y188" s="456"/>
      <c r="Z188" s="456"/>
      <c r="AA188" s="456"/>
      <c r="AB188" s="456"/>
      <c r="AC188" s="456"/>
      <c r="AD188" s="456"/>
    </row>
    <row r="189" spans="1:30" s="457" customFormat="1" ht="19.5" customHeight="1" x14ac:dyDescent="0.3">
      <c r="A189" s="279">
        <v>180</v>
      </c>
      <c r="B189" s="300"/>
      <c r="C189" s="553"/>
      <c r="D189" s="455"/>
      <c r="E189" s="442" t="s">
        <v>245</v>
      </c>
      <c r="F189" s="554"/>
      <c r="G189" s="290"/>
      <c r="H189" s="290"/>
      <c r="I189" s="1329"/>
      <c r="J189" s="373">
        <f>SUM(K189:R189)</f>
        <v>1021</v>
      </c>
      <c r="K189" s="556">
        <v>904</v>
      </c>
      <c r="L189" s="556">
        <v>117</v>
      </c>
      <c r="M189" s="556"/>
      <c r="N189" s="556"/>
      <c r="O189" s="556"/>
      <c r="P189" s="556"/>
      <c r="Q189" s="556"/>
      <c r="R189" s="557"/>
      <c r="S189" s="456"/>
      <c r="T189" s="456"/>
      <c r="U189" s="456"/>
      <c r="V189" s="456"/>
      <c r="W189" s="456"/>
      <c r="X189" s="456"/>
      <c r="Y189" s="456"/>
      <c r="Z189" s="456"/>
      <c r="AA189" s="456"/>
      <c r="AB189" s="456"/>
      <c r="AC189" s="456"/>
      <c r="AD189" s="456"/>
    </row>
    <row r="190" spans="1:30" s="457" customFormat="1" ht="19.5" customHeight="1" x14ac:dyDescent="0.3">
      <c r="A190" s="279">
        <v>181</v>
      </c>
      <c r="B190" s="352"/>
      <c r="C190" s="553"/>
      <c r="D190" s="455"/>
      <c r="E190" s="377" t="s">
        <v>810</v>
      </c>
      <c r="F190" s="554"/>
      <c r="G190" s="290"/>
      <c r="H190" s="290"/>
      <c r="I190" s="1329"/>
      <c r="J190" s="368">
        <f>SUM(K190:R190)</f>
        <v>17355</v>
      </c>
      <c r="K190" s="1064">
        <v>15355</v>
      </c>
      <c r="L190" s="1064">
        <v>2000</v>
      </c>
      <c r="M190" s="556"/>
      <c r="N190" s="556"/>
      <c r="O190" s="556"/>
      <c r="P190" s="556"/>
      <c r="Q190" s="556"/>
      <c r="R190" s="557"/>
      <c r="S190" s="456"/>
      <c r="T190" s="456"/>
      <c r="U190" s="456"/>
      <c r="V190" s="456"/>
      <c r="W190" s="456"/>
      <c r="X190" s="456"/>
      <c r="Y190" s="456"/>
      <c r="Z190" s="456"/>
      <c r="AA190" s="456"/>
      <c r="AB190" s="456"/>
      <c r="AC190" s="456"/>
      <c r="AD190" s="456"/>
    </row>
    <row r="191" spans="1:30" s="457" customFormat="1" ht="19.5" customHeight="1" x14ac:dyDescent="0.3">
      <c r="A191" s="279">
        <v>182</v>
      </c>
      <c r="B191" s="352"/>
      <c r="C191" s="553"/>
      <c r="D191" s="455"/>
      <c r="E191" s="910" t="s">
        <v>652</v>
      </c>
      <c r="F191" s="554"/>
      <c r="G191" s="290"/>
      <c r="H191" s="290"/>
      <c r="I191" s="1329"/>
      <c r="J191" s="1033">
        <f>SUM(K191:R191)</f>
        <v>0</v>
      </c>
      <c r="K191" s="1062"/>
      <c r="L191" s="1062"/>
      <c r="M191" s="556"/>
      <c r="N191" s="556"/>
      <c r="O191" s="556"/>
      <c r="P191" s="556"/>
      <c r="Q191" s="556"/>
      <c r="R191" s="557"/>
      <c r="S191" s="456"/>
      <c r="T191" s="456"/>
      <c r="U191" s="456"/>
      <c r="V191" s="456"/>
      <c r="W191" s="456"/>
      <c r="X191" s="456"/>
      <c r="Y191" s="456"/>
      <c r="Z191" s="456"/>
      <c r="AA191" s="456"/>
      <c r="AB191" s="456"/>
      <c r="AC191" s="456"/>
      <c r="AD191" s="456"/>
    </row>
    <row r="192" spans="1:30" s="457" customFormat="1" ht="19.5" customHeight="1" x14ac:dyDescent="0.3">
      <c r="A192" s="279">
        <v>183</v>
      </c>
      <c r="B192" s="352"/>
      <c r="C192" s="553"/>
      <c r="D192" s="455"/>
      <c r="E192" s="377" t="s">
        <v>858</v>
      </c>
      <c r="F192" s="554"/>
      <c r="G192" s="290"/>
      <c r="H192" s="290"/>
      <c r="I192" s="1329"/>
      <c r="J192" s="368">
        <f>SUM(K192:R192)</f>
        <v>17355</v>
      </c>
      <c r="K192" s="1064">
        <f>SUM(K190:K191)</f>
        <v>15355</v>
      </c>
      <c r="L192" s="1064">
        <f>SUM(L190:L191)</f>
        <v>2000</v>
      </c>
      <c r="M192" s="556"/>
      <c r="N192" s="556"/>
      <c r="O192" s="556"/>
      <c r="P192" s="556"/>
      <c r="Q192" s="556"/>
      <c r="R192" s="557"/>
      <c r="S192" s="456"/>
      <c r="T192" s="456"/>
      <c r="U192" s="456"/>
      <c r="V192" s="456"/>
      <c r="W192" s="456"/>
      <c r="X192" s="456"/>
      <c r="Y192" s="456"/>
      <c r="Z192" s="456"/>
      <c r="AA192" s="456"/>
      <c r="AB192" s="456"/>
      <c r="AC192" s="456"/>
      <c r="AD192" s="456"/>
    </row>
    <row r="193" spans="1:30" s="457" customFormat="1" ht="19.5" customHeight="1" x14ac:dyDescent="0.3">
      <c r="A193" s="279">
        <v>184</v>
      </c>
      <c r="B193" s="352"/>
      <c r="C193" s="294">
        <v>82</v>
      </c>
      <c r="D193" s="1883" t="s">
        <v>408</v>
      </c>
      <c r="E193" s="1883"/>
      <c r="F193" s="554"/>
      <c r="G193" s="290"/>
      <c r="H193" s="290"/>
      <c r="I193" s="1329">
        <v>8206</v>
      </c>
      <c r="J193" s="555"/>
      <c r="K193" s="556"/>
      <c r="L193" s="556"/>
      <c r="M193" s="556"/>
      <c r="N193" s="556"/>
      <c r="O193" s="556"/>
      <c r="P193" s="556"/>
      <c r="Q193" s="556"/>
      <c r="R193" s="557"/>
      <c r="S193" s="456"/>
      <c r="T193" s="456"/>
      <c r="U193" s="456"/>
      <c r="V193" s="456"/>
      <c r="W193" s="456"/>
      <c r="X193" s="456"/>
      <c r="Y193" s="456"/>
      <c r="Z193" s="456"/>
      <c r="AA193" s="456"/>
      <c r="AB193" s="456"/>
      <c r="AC193" s="456"/>
      <c r="AD193" s="456"/>
    </row>
    <row r="194" spans="1:30" s="457" customFormat="1" ht="19.5" customHeight="1" x14ac:dyDescent="0.3">
      <c r="A194" s="279">
        <v>185</v>
      </c>
      <c r="B194" s="352"/>
      <c r="C194" s="553"/>
      <c r="D194" s="455"/>
      <c r="E194" s="442" t="s">
        <v>245</v>
      </c>
      <c r="F194" s="554"/>
      <c r="G194" s="290"/>
      <c r="H194" s="290"/>
      <c r="I194" s="1329"/>
      <c r="J194" s="373">
        <f>SUM(K194:R194)</f>
        <v>1064</v>
      </c>
      <c r="K194" s="556">
        <v>942</v>
      </c>
      <c r="L194" s="556">
        <v>122</v>
      </c>
      <c r="M194" s="556"/>
      <c r="N194" s="556"/>
      <c r="O194" s="556"/>
      <c r="P194" s="556"/>
      <c r="Q194" s="556"/>
      <c r="R194" s="557"/>
      <c r="S194" s="456"/>
      <c r="T194" s="456"/>
      <c r="U194" s="456"/>
      <c r="V194" s="456"/>
      <c r="W194" s="456"/>
      <c r="X194" s="456"/>
      <c r="Y194" s="456"/>
      <c r="Z194" s="456"/>
      <c r="AA194" s="456"/>
      <c r="AB194" s="456"/>
      <c r="AC194" s="456"/>
      <c r="AD194" s="456"/>
    </row>
    <row r="195" spans="1:30" s="457" customFormat="1" ht="18" customHeight="1" x14ac:dyDescent="0.3">
      <c r="A195" s="279">
        <v>186</v>
      </c>
      <c r="B195" s="352"/>
      <c r="C195" s="553"/>
      <c r="D195" s="455"/>
      <c r="E195" s="377" t="s">
        <v>810</v>
      </c>
      <c r="F195" s="554"/>
      <c r="G195" s="290"/>
      <c r="H195" s="290"/>
      <c r="I195" s="1329"/>
      <c r="J195" s="368">
        <f>SUM(K195:R195)</f>
        <v>15076</v>
      </c>
      <c r="K195" s="1064">
        <v>13342</v>
      </c>
      <c r="L195" s="1064">
        <v>1734</v>
      </c>
      <c r="M195" s="556"/>
      <c r="N195" s="556"/>
      <c r="O195" s="556"/>
      <c r="P195" s="556"/>
      <c r="Q195" s="556"/>
      <c r="R195" s="557"/>
      <c r="S195" s="456"/>
      <c r="T195" s="456"/>
      <c r="U195" s="456"/>
      <c r="V195" s="456"/>
      <c r="W195" s="456"/>
      <c r="X195" s="456"/>
      <c r="Y195" s="456"/>
      <c r="Z195" s="456"/>
      <c r="AA195" s="456"/>
      <c r="AB195" s="456"/>
      <c r="AC195" s="456"/>
      <c r="AD195" s="456"/>
    </row>
    <row r="196" spans="1:30" s="457" customFormat="1" ht="19.5" customHeight="1" x14ac:dyDescent="0.3">
      <c r="A196" s="279">
        <v>187</v>
      </c>
      <c r="B196" s="352"/>
      <c r="C196" s="553"/>
      <c r="D196" s="455"/>
      <c r="E196" s="910" t="s">
        <v>652</v>
      </c>
      <c r="F196" s="554"/>
      <c r="G196" s="290"/>
      <c r="H196" s="290"/>
      <c r="I196" s="1329"/>
      <c r="J196" s="1033">
        <f>SUM(K196:R196)</f>
        <v>0</v>
      </c>
      <c r="K196" s="1062"/>
      <c r="L196" s="1062"/>
      <c r="M196" s="556"/>
      <c r="N196" s="556"/>
      <c r="O196" s="556"/>
      <c r="P196" s="556"/>
      <c r="Q196" s="556"/>
      <c r="R196" s="557"/>
      <c r="S196" s="456"/>
      <c r="T196" s="456"/>
      <c r="U196" s="456"/>
      <c r="V196" s="456"/>
      <c r="W196" s="456"/>
      <c r="X196" s="456"/>
      <c r="Y196" s="456"/>
      <c r="Z196" s="456"/>
      <c r="AA196" s="456"/>
      <c r="AB196" s="456"/>
      <c r="AC196" s="456"/>
      <c r="AD196" s="456"/>
    </row>
    <row r="197" spans="1:30" s="457" customFormat="1" ht="19.5" customHeight="1" x14ac:dyDescent="0.3">
      <c r="A197" s="279">
        <v>188</v>
      </c>
      <c r="B197" s="352"/>
      <c r="C197" s="553"/>
      <c r="D197" s="455"/>
      <c r="E197" s="377" t="s">
        <v>858</v>
      </c>
      <c r="F197" s="554"/>
      <c r="G197" s="290"/>
      <c r="H197" s="290"/>
      <c r="I197" s="1329"/>
      <c r="J197" s="368">
        <f>SUM(K197:R197)</f>
        <v>15076</v>
      </c>
      <c r="K197" s="1064">
        <f>SUM(K195:K196)</f>
        <v>13342</v>
      </c>
      <c r="L197" s="1064">
        <f>SUM(L195:L196)</f>
        <v>1734</v>
      </c>
      <c r="M197" s="556"/>
      <c r="N197" s="556"/>
      <c r="O197" s="556"/>
      <c r="P197" s="556"/>
      <c r="Q197" s="556"/>
      <c r="R197" s="557"/>
      <c r="S197" s="456"/>
      <c r="T197" s="456"/>
      <c r="U197" s="456"/>
      <c r="V197" s="456"/>
      <c r="W197" s="456"/>
      <c r="X197" s="456"/>
      <c r="Y197" s="456"/>
      <c r="Z197" s="456"/>
      <c r="AA197" s="456"/>
      <c r="AB197" s="456"/>
      <c r="AC197" s="456"/>
      <c r="AD197" s="456"/>
    </row>
    <row r="198" spans="1:30" s="457" customFormat="1" ht="19.5" customHeight="1" x14ac:dyDescent="0.3">
      <c r="A198" s="279">
        <v>189</v>
      </c>
      <c r="B198" s="352"/>
      <c r="C198" s="1328">
        <v>84</v>
      </c>
      <c r="D198" s="1883" t="s">
        <v>409</v>
      </c>
      <c r="E198" s="1883"/>
      <c r="F198" s="554"/>
      <c r="G198" s="290"/>
      <c r="H198" s="290"/>
      <c r="I198" s="1329"/>
      <c r="J198" s="368"/>
      <c r="K198" s="1064"/>
      <c r="L198" s="1064"/>
      <c r="M198" s="556"/>
      <c r="N198" s="556"/>
      <c r="O198" s="556"/>
      <c r="P198" s="556"/>
      <c r="Q198" s="556"/>
      <c r="R198" s="557"/>
      <c r="S198" s="456"/>
      <c r="T198" s="456"/>
      <c r="U198" s="456"/>
      <c r="V198" s="456"/>
      <c r="W198" s="456"/>
      <c r="X198" s="456"/>
      <c r="Y198" s="456"/>
      <c r="Z198" s="456"/>
      <c r="AA198" s="456"/>
      <c r="AB198" s="456"/>
      <c r="AC198" s="456"/>
      <c r="AD198" s="456"/>
    </row>
    <row r="199" spans="1:30" s="457" customFormat="1" ht="18" customHeight="1" x14ac:dyDescent="0.3">
      <c r="A199" s="279">
        <v>190</v>
      </c>
      <c r="B199" s="352"/>
      <c r="C199" s="1328"/>
      <c r="D199" s="1451"/>
      <c r="E199" s="377" t="s">
        <v>810</v>
      </c>
      <c r="F199" s="554"/>
      <c r="G199" s="290"/>
      <c r="H199" s="290"/>
      <c r="I199" s="1329"/>
      <c r="J199" s="368">
        <f>SUM(K199:R199)</f>
        <v>3579</v>
      </c>
      <c r="K199" s="1064">
        <v>3167</v>
      </c>
      <c r="L199" s="1064">
        <v>412</v>
      </c>
      <c r="M199" s="556"/>
      <c r="N199" s="556"/>
      <c r="O199" s="556"/>
      <c r="P199" s="556"/>
      <c r="Q199" s="556"/>
      <c r="R199" s="557"/>
      <c r="S199" s="456"/>
      <c r="T199" s="456"/>
      <c r="U199" s="456"/>
      <c r="V199" s="456"/>
      <c r="W199" s="456"/>
      <c r="X199" s="456"/>
      <c r="Y199" s="456"/>
      <c r="Z199" s="456"/>
      <c r="AA199" s="456"/>
      <c r="AB199" s="456"/>
      <c r="AC199" s="456"/>
      <c r="AD199" s="456"/>
    </row>
    <row r="200" spans="1:30" s="457" customFormat="1" ht="19.5" customHeight="1" x14ac:dyDescent="0.3">
      <c r="A200" s="279">
        <v>191</v>
      </c>
      <c r="B200" s="352"/>
      <c r="C200" s="553"/>
      <c r="D200" s="455"/>
      <c r="E200" s="910" t="s">
        <v>652</v>
      </c>
      <c r="F200" s="554"/>
      <c r="G200" s="290"/>
      <c r="H200" s="290"/>
      <c r="I200" s="1329"/>
      <c r="J200" s="1033">
        <f>SUM(K200:R200)</f>
        <v>0</v>
      </c>
      <c r="K200" s="1062"/>
      <c r="L200" s="1062"/>
      <c r="M200" s="556"/>
      <c r="N200" s="556"/>
      <c r="O200" s="556"/>
      <c r="P200" s="556"/>
      <c r="Q200" s="556"/>
      <c r="R200" s="557"/>
      <c r="S200" s="456"/>
      <c r="T200" s="456"/>
      <c r="U200" s="456"/>
      <c r="V200" s="456"/>
      <c r="W200" s="456"/>
      <c r="X200" s="456"/>
      <c r="Y200" s="456"/>
      <c r="Z200" s="456"/>
      <c r="AA200" s="456"/>
      <c r="AB200" s="456"/>
      <c r="AC200" s="456"/>
      <c r="AD200" s="456"/>
    </row>
    <row r="201" spans="1:30" s="457" customFormat="1" ht="19.5" customHeight="1" x14ac:dyDescent="0.3">
      <c r="A201" s="279">
        <v>192</v>
      </c>
      <c r="B201" s="352"/>
      <c r="C201" s="553"/>
      <c r="D201" s="455"/>
      <c r="E201" s="377" t="s">
        <v>858</v>
      </c>
      <c r="F201" s="554"/>
      <c r="G201" s="290"/>
      <c r="H201" s="290"/>
      <c r="I201" s="1329"/>
      <c r="J201" s="368">
        <f>SUM(K201:R201)</f>
        <v>3579</v>
      </c>
      <c r="K201" s="1061">
        <f>SUM(K199:K200)</f>
        <v>3167</v>
      </c>
      <c r="L201" s="1061">
        <f>SUM(L199:L200)</f>
        <v>412</v>
      </c>
      <c r="M201" s="556"/>
      <c r="N201" s="556"/>
      <c r="O201" s="556"/>
      <c r="P201" s="556"/>
      <c r="Q201" s="556"/>
      <c r="R201" s="557"/>
      <c r="S201" s="456"/>
      <c r="T201" s="456"/>
      <c r="U201" s="456"/>
      <c r="V201" s="456"/>
      <c r="W201" s="456"/>
      <c r="X201" s="456"/>
      <c r="Y201" s="456"/>
      <c r="Z201" s="456"/>
      <c r="AA201" s="456"/>
      <c r="AB201" s="456"/>
      <c r="AC201" s="456"/>
      <c r="AD201" s="456"/>
    </row>
    <row r="202" spans="1:30" s="457" customFormat="1" ht="19.5" customHeight="1" x14ac:dyDescent="0.3">
      <c r="A202" s="279">
        <v>193</v>
      </c>
      <c r="B202" s="352"/>
      <c r="C202" s="1484">
        <v>85</v>
      </c>
      <c r="D202" s="1884" t="s">
        <v>522</v>
      </c>
      <c r="E202" s="1885"/>
      <c r="F202" s="554"/>
      <c r="G202" s="290"/>
      <c r="H202" s="290"/>
      <c r="I202" s="1329"/>
      <c r="J202" s="368"/>
      <c r="K202" s="1061"/>
      <c r="L202" s="1061"/>
      <c r="M202" s="556"/>
      <c r="N202" s="556"/>
      <c r="O202" s="556"/>
      <c r="P202" s="556"/>
      <c r="Q202" s="556"/>
      <c r="R202" s="557"/>
      <c r="S202" s="456"/>
      <c r="T202" s="456"/>
      <c r="U202" s="456"/>
      <c r="V202" s="456"/>
      <c r="W202" s="456"/>
      <c r="X202" s="456"/>
      <c r="Y202" s="456"/>
      <c r="Z202" s="456"/>
      <c r="AA202" s="456"/>
      <c r="AB202" s="456"/>
      <c r="AC202" s="456"/>
      <c r="AD202" s="456"/>
    </row>
    <row r="203" spans="1:30" s="457" customFormat="1" ht="19.5" customHeight="1" x14ac:dyDescent="0.3">
      <c r="A203" s="279">
        <v>194</v>
      </c>
      <c r="B203" s="352"/>
      <c r="C203" s="1484"/>
      <c r="D203" s="1682"/>
      <c r="E203" s="377" t="s">
        <v>810</v>
      </c>
      <c r="F203" s="554"/>
      <c r="G203" s="290"/>
      <c r="H203" s="290"/>
      <c r="I203" s="1329"/>
      <c r="J203" s="368">
        <f>SUM(K203:R203)</f>
        <v>1600</v>
      </c>
      <c r="K203" s="1061">
        <v>1416</v>
      </c>
      <c r="L203" s="1061">
        <v>184</v>
      </c>
      <c r="M203" s="556"/>
      <c r="N203" s="556"/>
      <c r="O203" s="556"/>
      <c r="P203" s="556"/>
      <c r="Q203" s="556"/>
      <c r="R203" s="557"/>
      <c r="S203" s="456"/>
      <c r="T203" s="456"/>
      <c r="U203" s="456"/>
      <c r="V203" s="456"/>
      <c r="W203" s="456"/>
      <c r="X203" s="456"/>
      <c r="Y203" s="456"/>
      <c r="Z203" s="456"/>
      <c r="AA203" s="456"/>
      <c r="AB203" s="456"/>
      <c r="AC203" s="456"/>
      <c r="AD203" s="456"/>
    </row>
    <row r="204" spans="1:30" s="457" customFormat="1" ht="19.5" customHeight="1" x14ac:dyDescent="0.3">
      <c r="A204" s="279">
        <v>195</v>
      </c>
      <c r="B204" s="352"/>
      <c r="C204" s="553"/>
      <c r="D204" s="455"/>
      <c r="E204" s="910" t="s">
        <v>652</v>
      </c>
      <c r="F204" s="554"/>
      <c r="G204" s="290"/>
      <c r="H204" s="290"/>
      <c r="I204" s="1329"/>
      <c r="J204" s="1033">
        <f>SUM(K204:R204)</f>
        <v>0</v>
      </c>
      <c r="K204" s="1062"/>
      <c r="L204" s="1062"/>
      <c r="M204" s="556"/>
      <c r="N204" s="556"/>
      <c r="O204" s="556"/>
      <c r="P204" s="556"/>
      <c r="Q204" s="556"/>
      <c r="R204" s="557"/>
      <c r="S204" s="456"/>
      <c r="T204" s="456"/>
      <c r="U204" s="456"/>
      <c r="V204" s="456"/>
      <c r="W204" s="456"/>
      <c r="X204" s="456"/>
      <c r="Y204" s="456"/>
      <c r="Z204" s="456"/>
      <c r="AA204" s="456"/>
      <c r="AB204" s="456"/>
      <c r="AC204" s="456"/>
      <c r="AD204" s="456"/>
    </row>
    <row r="205" spans="1:30" s="457" customFormat="1" ht="19.5" customHeight="1" x14ac:dyDescent="0.3">
      <c r="A205" s="279">
        <v>196</v>
      </c>
      <c r="B205" s="352"/>
      <c r="C205" s="553"/>
      <c r="D205" s="455"/>
      <c r="E205" s="377" t="s">
        <v>858</v>
      </c>
      <c r="F205" s="554"/>
      <c r="G205" s="290"/>
      <c r="H205" s="290"/>
      <c r="I205" s="1329"/>
      <c r="J205" s="368">
        <f>SUM(K205:R205)</f>
        <v>1600</v>
      </c>
      <c r="K205" s="1061">
        <f>SUM(K203:K204)</f>
        <v>1416</v>
      </c>
      <c r="L205" s="1061">
        <f>SUM(L203:L204)</f>
        <v>184</v>
      </c>
      <c r="M205" s="556"/>
      <c r="N205" s="556"/>
      <c r="O205" s="556"/>
      <c r="P205" s="556"/>
      <c r="Q205" s="556"/>
      <c r="R205" s="557"/>
      <c r="S205" s="456"/>
      <c r="T205" s="456"/>
      <c r="U205" s="456"/>
      <c r="V205" s="456"/>
      <c r="W205" s="456"/>
      <c r="X205" s="456"/>
      <c r="Y205" s="456"/>
      <c r="Z205" s="456"/>
      <c r="AA205" s="456"/>
      <c r="AB205" s="456"/>
      <c r="AC205" s="456"/>
      <c r="AD205" s="456"/>
    </row>
    <row r="206" spans="1:30" s="457" customFormat="1" ht="19.5" customHeight="1" x14ac:dyDescent="0.3">
      <c r="A206" s="279">
        <v>197</v>
      </c>
      <c r="B206" s="352"/>
      <c r="C206" s="1328">
        <v>86</v>
      </c>
      <c r="D206" s="1884" t="s">
        <v>520</v>
      </c>
      <c r="E206" s="1885"/>
      <c r="F206" s="554"/>
      <c r="G206" s="290"/>
      <c r="H206" s="290"/>
      <c r="I206" s="1329"/>
      <c r="J206" s="368"/>
      <c r="K206" s="1061"/>
      <c r="L206" s="1061"/>
      <c r="M206" s="556"/>
      <c r="N206" s="556"/>
      <c r="O206" s="556"/>
      <c r="P206" s="556"/>
      <c r="Q206" s="556"/>
      <c r="R206" s="557"/>
      <c r="S206" s="456"/>
      <c r="T206" s="456"/>
      <c r="U206" s="456"/>
      <c r="V206" s="456"/>
      <c r="W206" s="456"/>
      <c r="X206" s="456"/>
      <c r="Y206" s="456"/>
      <c r="Z206" s="456"/>
      <c r="AA206" s="456"/>
      <c r="AB206" s="456"/>
      <c r="AC206" s="456"/>
      <c r="AD206" s="456"/>
    </row>
    <row r="207" spans="1:30" s="457" customFormat="1" ht="19.5" customHeight="1" x14ac:dyDescent="0.3">
      <c r="A207" s="279">
        <v>198</v>
      </c>
      <c r="B207" s="352"/>
      <c r="C207" s="553"/>
      <c r="D207" s="455"/>
      <c r="E207" s="910" t="s">
        <v>897</v>
      </c>
      <c r="F207" s="554"/>
      <c r="G207" s="290"/>
      <c r="H207" s="290"/>
      <c r="I207" s="1329"/>
      <c r="J207" s="1033">
        <f>SUM(K207:R207)</f>
        <v>4000</v>
      </c>
      <c r="K207" s="1062">
        <v>3540</v>
      </c>
      <c r="L207" s="1062">
        <v>460</v>
      </c>
      <c r="M207" s="556"/>
      <c r="N207" s="556"/>
      <c r="O207" s="556"/>
      <c r="P207" s="556"/>
      <c r="Q207" s="556"/>
      <c r="R207" s="557"/>
      <c r="S207" s="456"/>
      <c r="T207" s="456"/>
      <c r="U207" s="456"/>
      <c r="V207" s="456"/>
      <c r="W207" s="456"/>
      <c r="X207" s="456"/>
      <c r="Y207" s="456"/>
      <c r="Z207" s="456"/>
      <c r="AA207" s="456"/>
      <c r="AB207" s="456"/>
      <c r="AC207" s="456"/>
      <c r="AD207" s="456"/>
    </row>
    <row r="208" spans="1:30" s="457" customFormat="1" ht="19.5" customHeight="1" x14ac:dyDescent="0.3">
      <c r="A208" s="279">
        <v>199</v>
      </c>
      <c r="B208" s="352"/>
      <c r="C208" s="553"/>
      <c r="D208" s="455"/>
      <c r="E208" s="377" t="s">
        <v>858</v>
      </c>
      <c r="F208" s="554"/>
      <c r="G208" s="290"/>
      <c r="H208" s="290"/>
      <c r="I208" s="1329"/>
      <c r="J208" s="368">
        <f>SUM(K208:R208)</f>
        <v>4000</v>
      </c>
      <c r="K208" s="1061">
        <f>SUM(K207)</f>
        <v>3540</v>
      </c>
      <c r="L208" s="1061">
        <f>SUM(L207)</f>
        <v>460</v>
      </c>
      <c r="M208" s="556"/>
      <c r="N208" s="556"/>
      <c r="O208" s="556"/>
      <c r="P208" s="556"/>
      <c r="Q208" s="556"/>
      <c r="R208" s="557"/>
      <c r="S208" s="456"/>
      <c r="T208" s="456"/>
      <c r="U208" s="456"/>
      <c r="V208" s="456"/>
      <c r="W208" s="456"/>
      <c r="X208" s="456"/>
      <c r="Y208" s="456"/>
      <c r="Z208" s="456"/>
      <c r="AA208" s="456"/>
      <c r="AB208" s="456"/>
      <c r="AC208" s="456"/>
      <c r="AD208" s="456"/>
    </row>
    <row r="209" spans="1:31" s="457" customFormat="1" ht="19.5" customHeight="1" x14ac:dyDescent="0.3">
      <c r="A209" s="279">
        <v>200</v>
      </c>
      <c r="B209" s="352"/>
      <c r="C209" s="1328">
        <v>86</v>
      </c>
      <c r="D209" s="1910" t="s">
        <v>1115</v>
      </c>
      <c r="E209" s="1911"/>
      <c r="F209" s="554"/>
      <c r="G209" s="290"/>
      <c r="H209" s="290"/>
      <c r="I209" s="1329"/>
      <c r="J209" s="368"/>
      <c r="K209" s="1061"/>
      <c r="L209" s="1061"/>
      <c r="M209" s="556"/>
      <c r="N209" s="556"/>
      <c r="O209" s="556"/>
      <c r="P209" s="556"/>
      <c r="Q209" s="556"/>
      <c r="R209" s="557"/>
      <c r="S209" s="456"/>
      <c r="T209" s="456"/>
      <c r="U209" s="456"/>
      <c r="V209" s="456"/>
      <c r="W209" s="456"/>
      <c r="X209" s="456"/>
      <c r="Y209" s="456"/>
      <c r="Z209" s="456"/>
      <c r="AA209" s="456"/>
      <c r="AB209" s="456"/>
      <c r="AC209" s="456"/>
      <c r="AD209" s="456"/>
    </row>
    <row r="210" spans="1:31" s="457" customFormat="1" ht="19.5" customHeight="1" x14ac:dyDescent="0.3">
      <c r="A210" s="279">
        <v>201</v>
      </c>
      <c r="B210" s="352"/>
      <c r="C210" s="553"/>
      <c r="D210" s="455"/>
      <c r="E210" s="910" t="s">
        <v>897</v>
      </c>
      <c r="F210" s="554"/>
      <c r="G210" s="290"/>
      <c r="H210" s="290"/>
      <c r="I210" s="1329"/>
      <c r="J210" s="1033">
        <f>SUM(K210:R210)</f>
        <v>9040</v>
      </c>
      <c r="K210" s="1062">
        <v>8000</v>
      </c>
      <c r="L210" s="1062">
        <v>1040</v>
      </c>
      <c r="M210" s="556"/>
      <c r="N210" s="556"/>
      <c r="O210" s="556"/>
      <c r="P210" s="556"/>
      <c r="Q210" s="556"/>
      <c r="R210" s="557"/>
      <c r="S210" s="456"/>
      <c r="T210" s="456"/>
      <c r="U210" s="456"/>
      <c r="V210" s="456"/>
      <c r="W210" s="456"/>
      <c r="X210" s="456"/>
      <c r="Y210" s="456"/>
      <c r="Z210" s="456"/>
      <c r="AA210" s="456"/>
      <c r="AB210" s="456"/>
      <c r="AC210" s="456"/>
      <c r="AD210" s="456"/>
    </row>
    <row r="211" spans="1:31" s="457" customFormat="1" ht="19.5" customHeight="1" x14ac:dyDescent="0.3">
      <c r="A211" s="279">
        <v>202</v>
      </c>
      <c r="B211" s="352"/>
      <c r="C211" s="553"/>
      <c r="D211" s="455"/>
      <c r="E211" s="377" t="s">
        <v>858</v>
      </c>
      <c r="F211" s="554"/>
      <c r="G211" s="290"/>
      <c r="H211" s="290"/>
      <c r="I211" s="1329"/>
      <c r="J211" s="368">
        <f>SUM(K211:R211)</f>
        <v>9040</v>
      </c>
      <c r="K211" s="1061">
        <f>SUM(K210)</f>
        <v>8000</v>
      </c>
      <c r="L211" s="1061">
        <f>SUM(L210)</f>
        <v>1040</v>
      </c>
      <c r="M211" s="556"/>
      <c r="N211" s="556"/>
      <c r="O211" s="556"/>
      <c r="P211" s="556"/>
      <c r="Q211" s="556"/>
      <c r="R211" s="557"/>
      <c r="S211" s="456"/>
      <c r="T211" s="456"/>
      <c r="U211" s="456"/>
      <c r="V211" s="456"/>
      <c r="W211" s="456"/>
      <c r="X211" s="456"/>
      <c r="Y211" s="456"/>
      <c r="Z211" s="456"/>
      <c r="AA211" s="456"/>
      <c r="AB211" s="456"/>
      <c r="AC211" s="456"/>
      <c r="AD211" s="456"/>
    </row>
    <row r="212" spans="1:31" s="283" customFormat="1" ht="19.5" customHeight="1" x14ac:dyDescent="0.3">
      <c r="A212" s="279">
        <v>203</v>
      </c>
      <c r="B212" s="394"/>
      <c r="C212" s="294">
        <v>19</v>
      </c>
      <c r="D212" s="439" t="s">
        <v>502</v>
      </c>
      <c r="E212" s="454"/>
      <c r="F212" s="453"/>
      <c r="G212" s="296">
        <v>472</v>
      </c>
      <c r="H212" s="296"/>
      <c r="I212" s="1330"/>
      <c r="J212" s="368"/>
      <c r="K212" s="451"/>
      <c r="L212" s="451"/>
      <c r="M212" s="451"/>
      <c r="N212" s="451"/>
      <c r="O212" s="451"/>
      <c r="P212" s="451"/>
      <c r="Q212" s="451"/>
      <c r="R212" s="452"/>
      <c r="S212" s="381"/>
      <c r="T212" s="381"/>
      <c r="U212" s="381"/>
      <c r="V212" s="381"/>
      <c r="W212" s="381"/>
      <c r="X212" s="381"/>
      <c r="Y212" s="381"/>
      <c r="Z212" s="381"/>
      <c r="AA212" s="381"/>
      <c r="AB212" s="381"/>
      <c r="AC212" s="381"/>
      <c r="AD212" s="381"/>
    </row>
    <row r="213" spans="1:31" s="283" customFormat="1" ht="19.5" customHeight="1" x14ac:dyDescent="0.3">
      <c r="A213" s="279">
        <v>204</v>
      </c>
      <c r="B213" s="394"/>
      <c r="C213" s="294">
        <v>20</v>
      </c>
      <c r="D213" s="439" t="s">
        <v>345</v>
      </c>
      <c r="E213" s="454"/>
      <c r="F213" s="453"/>
      <c r="G213" s="296">
        <v>16544</v>
      </c>
      <c r="H213" s="296"/>
      <c r="I213" s="1330"/>
      <c r="J213" s="368"/>
      <c r="K213" s="451"/>
      <c r="L213" s="451"/>
      <c r="M213" s="451"/>
      <c r="N213" s="451"/>
      <c r="O213" s="451"/>
      <c r="P213" s="451"/>
      <c r="Q213" s="451"/>
      <c r="R213" s="452"/>
      <c r="S213" s="381"/>
      <c r="T213" s="381"/>
      <c r="U213" s="381"/>
      <c r="V213" s="381"/>
      <c r="W213" s="381"/>
      <c r="X213" s="381"/>
      <c r="Y213" s="381"/>
      <c r="Z213" s="381"/>
      <c r="AA213" s="381"/>
      <c r="AB213" s="381"/>
      <c r="AC213" s="381"/>
      <c r="AD213" s="381"/>
    </row>
    <row r="214" spans="1:31" s="337" customFormat="1" ht="30" customHeight="1" x14ac:dyDescent="0.3">
      <c r="A214" s="279">
        <v>205</v>
      </c>
      <c r="B214" s="394"/>
      <c r="C214" s="336">
        <v>21</v>
      </c>
      <c r="D214" s="1871" t="s">
        <v>346</v>
      </c>
      <c r="E214" s="1872"/>
      <c r="F214" s="378"/>
      <c r="G214" s="296">
        <v>531</v>
      </c>
      <c r="H214" s="296"/>
      <c r="I214" s="1330"/>
      <c r="J214" s="368"/>
      <c r="K214" s="450"/>
      <c r="L214" s="450"/>
      <c r="M214" s="451"/>
      <c r="N214" s="451"/>
      <c r="O214" s="451"/>
      <c r="P214" s="451"/>
      <c r="Q214" s="451"/>
      <c r="R214" s="452"/>
      <c r="S214" s="379"/>
      <c r="T214" s="379"/>
      <c r="U214" s="379"/>
      <c r="V214" s="379"/>
      <c r="W214" s="379"/>
      <c r="X214" s="379"/>
      <c r="Y214" s="379"/>
      <c r="Z214" s="379"/>
      <c r="AA214" s="379"/>
      <c r="AB214" s="379"/>
      <c r="AC214" s="379"/>
      <c r="AD214" s="379"/>
    </row>
    <row r="215" spans="1:31" s="457" customFormat="1" ht="30.75" customHeight="1" x14ac:dyDescent="0.3">
      <c r="A215" s="279">
        <v>206</v>
      </c>
      <c r="B215" s="352"/>
      <c r="C215" s="336">
        <v>60</v>
      </c>
      <c r="D215" s="1871" t="s">
        <v>389</v>
      </c>
      <c r="E215" s="1872"/>
      <c r="F215" s="554"/>
      <c r="G215" s="290">
        <v>7754</v>
      </c>
      <c r="H215" s="290">
        <v>2207</v>
      </c>
      <c r="I215" s="1329">
        <v>2207</v>
      </c>
      <c r="J215" s="555"/>
      <c r="K215" s="556"/>
      <c r="L215" s="556"/>
      <c r="M215" s="556"/>
      <c r="N215" s="556"/>
      <c r="O215" s="556"/>
      <c r="P215" s="556"/>
      <c r="Q215" s="556"/>
      <c r="R215" s="557"/>
      <c r="S215" s="456"/>
      <c r="T215" s="456"/>
      <c r="U215" s="456"/>
      <c r="V215" s="456"/>
      <c r="W215" s="456"/>
      <c r="X215" s="456"/>
      <c r="Y215" s="456"/>
      <c r="Z215" s="456"/>
      <c r="AA215" s="456"/>
      <c r="AB215" s="456"/>
      <c r="AC215" s="456"/>
      <c r="AD215" s="456"/>
    </row>
    <row r="216" spans="1:31" s="457" customFormat="1" ht="19.5" customHeight="1" x14ac:dyDescent="0.3">
      <c r="A216" s="279">
        <v>207</v>
      </c>
      <c r="B216" s="352"/>
      <c r="C216" s="294"/>
      <c r="D216" s="1883" t="s">
        <v>617</v>
      </c>
      <c r="E216" s="1883"/>
      <c r="F216" s="554"/>
      <c r="G216" s="290">
        <v>120063</v>
      </c>
      <c r="H216" s="290">
        <v>7918</v>
      </c>
      <c r="I216" s="1329">
        <f>4158+127+1411+566+958+1080</f>
        <v>8300</v>
      </c>
      <c r="J216" s="555"/>
      <c r="K216" s="556"/>
      <c r="L216" s="556"/>
      <c r="M216" s="556"/>
      <c r="N216" s="556"/>
      <c r="O216" s="556"/>
      <c r="P216" s="556"/>
      <c r="Q216" s="556"/>
      <c r="R216" s="557"/>
      <c r="S216" s="456"/>
      <c r="T216" s="456"/>
      <c r="U216" s="456"/>
      <c r="V216" s="456"/>
      <c r="W216" s="456"/>
      <c r="X216" s="456"/>
      <c r="Y216" s="456"/>
      <c r="Z216" s="456"/>
      <c r="AA216" s="456"/>
      <c r="AB216" s="456"/>
      <c r="AC216" s="456"/>
      <c r="AD216" s="456"/>
    </row>
    <row r="217" spans="1:31" s="457" customFormat="1" ht="19.5" customHeight="1" thickBot="1" x14ac:dyDescent="0.35">
      <c r="A217" s="279">
        <v>208</v>
      </c>
      <c r="B217" s="352"/>
      <c r="C217" s="294">
        <v>83</v>
      </c>
      <c r="D217" s="1883" t="s">
        <v>620</v>
      </c>
      <c r="E217" s="1883"/>
      <c r="F217" s="554"/>
      <c r="G217" s="290"/>
      <c r="H217" s="290"/>
      <c r="I217" s="1329">
        <v>50257</v>
      </c>
      <c r="J217" s="555"/>
      <c r="K217" s="556"/>
      <c r="L217" s="556"/>
      <c r="M217" s="556"/>
      <c r="N217" s="556"/>
      <c r="O217" s="556"/>
      <c r="P217" s="556"/>
      <c r="Q217" s="556"/>
      <c r="R217" s="557"/>
      <c r="S217" s="456"/>
      <c r="T217" s="456"/>
      <c r="U217" s="456"/>
      <c r="V217" s="456"/>
      <c r="W217" s="456"/>
      <c r="X217" s="456"/>
      <c r="Y217" s="456"/>
      <c r="Z217" s="456"/>
      <c r="AA217" s="456"/>
      <c r="AB217" s="456"/>
      <c r="AC217" s="456"/>
      <c r="AD217" s="456"/>
    </row>
    <row r="218" spans="1:31" s="337" customFormat="1" ht="22.5" customHeight="1" thickTop="1" x14ac:dyDescent="0.3">
      <c r="A218" s="279">
        <v>209</v>
      </c>
      <c r="B218" s="458"/>
      <c r="C218" s="1889" t="s">
        <v>306</v>
      </c>
      <c r="D218" s="1890"/>
      <c r="E218" s="1891"/>
      <c r="F218" s="459"/>
      <c r="G218" s="385">
        <f>SUM(G156:G217)-G162</f>
        <v>2164505</v>
      </c>
      <c r="H218" s="385">
        <f>SUM(H156:H217)-H162</f>
        <v>2584822</v>
      </c>
      <c r="I218" s="385">
        <f>SUM(I156:I217)-I162</f>
        <v>2420617</v>
      </c>
      <c r="J218" s="386"/>
      <c r="K218" s="410"/>
      <c r="L218" s="410"/>
      <c r="M218" s="410"/>
      <c r="N218" s="410"/>
      <c r="O218" s="410"/>
      <c r="P218" s="410"/>
      <c r="Q218" s="410"/>
      <c r="R218" s="411"/>
      <c r="S218" s="379"/>
      <c r="T218" s="379"/>
      <c r="U218" s="379"/>
      <c r="V218" s="379"/>
      <c r="W218" s="379"/>
      <c r="X218" s="379"/>
      <c r="Y218" s="379"/>
      <c r="Z218" s="379"/>
      <c r="AA218" s="379"/>
      <c r="AB218" s="379"/>
      <c r="AC218" s="379"/>
      <c r="AD218" s="379"/>
      <c r="AE218" s="379"/>
    </row>
    <row r="219" spans="1:31" s="306" customFormat="1" ht="18" customHeight="1" x14ac:dyDescent="0.3">
      <c r="A219" s="279">
        <v>210</v>
      </c>
      <c r="B219" s="300"/>
      <c r="C219" s="330"/>
      <c r="D219" s="1030"/>
      <c r="E219" s="1066" t="s">
        <v>245</v>
      </c>
      <c r="F219" s="1067"/>
      <c r="G219" s="1031"/>
      <c r="H219" s="1031"/>
      <c r="I219" s="1334"/>
      <c r="J219" s="399">
        <f>SUM(K219:R219)</f>
        <v>2856633</v>
      </c>
      <c r="K219" s="1068">
        <f t="shared" ref="K219:R219" si="41">SUM(K158,K164,K169,,K174,K179,K184,K189,K194)</f>
        <v>1950732</v>
      </c>
      <c r="L219" s="1068">
        <f t="shared" si="41"/>
        <v>293070</v>
      </c>
      <c r="M219" s="1068">
        <f t="shared" si="41"/>
        <v>481884</v>
      </c>
      <c r="N219" s="1068">
        <f t="shared" si="41"/>
        <v>0</v>
      </c>
      <c r="O219" s="1068">
        <f t="shared" si="41"/>
        <v>0</v>
      </c>
      <c r="P219" s="1068">
        <f t="shared" si="41"/>
        <v>130947</v>
      </c>
      <c r="Q219" s="1068">
        <f t="shared" si="41"/>
        <v>0</v>
      </c>
      <c r="R219" s="1069">
        <f t="shared" si="41"/>
        <v>0</v>
      </c>
      <c r="S219" s="376"/>
      <c r="T219" s="376"/>
      <c r="U219" s="376"/>
      <c r="V219" s="376"/>
      <c r="W219" s="376"/>
      <c r="X219" s="376"/>
      <c r="Y219" s="376"/>
      <c r="Z219" s="376"/>
      <c r="AA219" s="376"/>
      <c r="AB219" s="376"/>
      <c r="AC219" s="376"/>
      <c r="AD219" s="376"/>
      <c r="AE219" s="376"/>
    </row>
    <row r="220" spans="1:31" s="306" customFormat="1" ht="18" customHeight="1" x14ac:dyDescent="0.3">
      <c r="A220" s="279">
        <v>211</v>
      </c>
      <c r="B220" s="1056"/>
      <c r="C220" s="330"/>
      <c r="D220" s="1030"/>
      <c r="E220" s="377" t="s">
        <v>810</v>
      </c>
      <c r="F220" s="1067"/>
      <c r="G220" s="1031"/>
      <c r="H220" s="1031"/>
      <c r="I220" s="1334"/>
      <c r="J220" s="1474">
        <f>SUM(K220:R220)</f>
        <v>3760175</v>
      </c>
      <c r="K220" s="1478">
        <f>SUM(K159,K165,K170,,K175,K180,K185,K190,K195,K199,K203)</f>
        <v>2338236</v>
      </c>
      <c r="L220" s="1478">
        <f t="shared" ref="L220:R220" si="42">SUM(L159,L165,L170,,L175,L180,L185,L190,L195,L199,L203)</f>
        <v>347581</v>
      </c>
      <c r="M220" s="1478">
        <f t="shared" si="42"/>
        <v>853711</v>
      </c>
      <c r="N220" s="1478">
        <f t="shared" si="42"/>
        <v>0</v>
      </c>
      <c r="O220" s="1478">
        <f t="shared" si="42"/>
        <v>0</v>
      </c>
      <c r="P220" s="1478">
        <f t="shared" si="42"/>
        <v>220647</v>
      </c>
      <c r="Q220" s="1478">
        <f t="shared" si="42"/>
        <v>0</v>
      </c>
      <c r="R220" s="1483">
        <f t="shared" si="42"/>
        <v>0</v>
      </c>
      <c r="S220" s="376"/>
      <c r="T220" s="376"/>
      <c r="U220" s="376"/>
      <c r="V220" s="376"/>
      <c r="W220" s="376"/>
      <c r="X220" s="376"/>
      <c r="Y220" s="376"/>
      <c r="Z220" s="376"/>
      <c r="AA220" s="376"/>
      <c r="AB220" s="376"/>
      <c r="AC220" s="376"/>
      <c r="AD220" s="376"/>
      <c r="AE220" s="376"/>
    </row>
    <row r="221" spans="1:31" s="306" customFormat="1" ht="18" customHeight="1" x14ac:dyDescent="0.3">
      <c r="A221" s="279">
        <v>212</v>
      </c>
      <c r="B221" s="1056"/>
      <c r="C221" s="301"/>
      <c r="D221" s="1032"/>
      <c r="E221" s="910" t="s">
        <v>652</v>
      </c>
      <c r="F221" s="1070"/>
      <c r="G221" s="372"/>
      <c r="H221" s="372"/>
      <c r="I221" s="1331"/>
      <c r="J221" s="1033">
        <f>SUM(K221:R221)</f>
        <v>13040</v>
      </c>
      <c r="K221" s="405">
        <f>K196+K191+K186+K181+K176+K171+K166+K160+K200+K204+K207+K210</f>
        <v>11540</v>
      </c>
      <c r="L221" s="405">
        <f t="shared" ref="L221:R221" si="43">L196+L191+L186+L181+L176+L171+L166+L160+L200+L204+L207+L210</f>
        <v>1500</v>
      </c>
      <c r="M221" s="405">
        <f t="shared" si="43"/>
        <v>0</v>
      </c>
      <c r="N221" s="405">
        <f t="shared" si="43"/>
        <v>0</v>
      </c>
      <c r="O221" s="405">
        <f t="shared" si="43"/>
        <v>0</v>
      </c>
      <c r="P221" s="405">
        <f t="shared" si="43"/>
        <v>0</v>
      </c>
      <c r="Q221" s="405">
        <f t="shared" si="43"/>
        <v>0</v>
      </c>
      <c r="R221" s="406">
        <f t="shared" si="43"/>
        <v>0</v>
      </c>
      <c r="S221" s="376"/>
      <c r="T221" s="376"/>
      <c r="U221" s="376"/>
      <c r="V221" s="376"/>
      <c r="W221" s="376"/>
      <c r="X221" s="376"/>
      <c r="Y221" s="376"/>
      <c r="Z221" s="376"/>
      <c r="AA221" s="376"/>
      <c r="AB221" s="376"/>
      <c r="AC221" s="376"/>
      <c r="AD221" s="376"/>
      <c r="AE221" s="376"/>
    </row>
    <row r="222" spans="1:31" s="306" customFormat="1" ht="18" customHeight="1" thickBot="1" x14ac:dyDescent="0.35">
      <c r="A222" s="279">
        <v>213</v>
      </c>
      <c r="B222" s="1056"/>
      <c r="C222" s="896"/>
      <c r="D222" s="1071"/>
      <c r="E222" s="377" t="s">
        <v>858</v>
      </c>
      <c r="F222" s="1057"/>
      <c r="G222" s="1058"/>
      <c r="H222" s="1058"/>
      <c r="I222" s="1343"/>
      <c r="J222" s="368">
        <f>SUM(K222:R222)</f>
        <v>3773215</v>
      </c>
      <c r="K222" s="1072">
        <f>SUM(K220:K221)</f>
        <v>2349776</v>
      </c>
      <c r="L222" s="1072">
        <f t="shared" ref="L222:R222" si="44">SUM(L220:L221)</f>
        <v>349081</v>
      </c>
      <c r="M222" s="1072">
        <f t="shared" si="44"/>
        <v>853711</v>
      </c>
      <c r="N222" s="1072">
        <f t="shared" si="44"/>
        <v>0</v>
      </c>
      <c r="O222" s="1072">
        <f t="shared" si="44"/>
        <v>0</v>
      </c>
      <c r="P222" s="1072">
        <f>SUM(P220:P221)</f>
        <v>220647</v>
      </c>
      <c r="Q222" s="1072">
        <f t="shared" si="44"/>
        <v>0</v>
      </c>
      <c r="R222" s="1084">
        <f t="shared" si="44"/>
        <v>0</v>
      </c>
      <c r="S222" s="376"/>
      <c r="T222" s="376"/>
      <c r="U222" s="376"/>
      <c r="V222" s="376"/>
      <c r="W222" s="376"/>
      <c r="X222" s="376"/>
      <c r="Y222" s="376"/>
      <c r="Z222" s="376"/>
      <c r="AA222" s="376"/>
      <c r="AB222" s="376"/>
      <c r="AC222" s="376"/>
      <c r="AD222" s="376"/>
      <c r="AE222" s="376"/>
    </row>
    <row r="223" spans="1:31" s="337" customFormat="1" ht="36" customHeight="1" x14ac:dyDescent="0.2">
      <c r="A223" s="279">
        <v>214</v>
      </c>
      <c r="B223" s="1878" t="s">
        <v>13</v>
      </c>
      <c r="C223" s="1879"/>
      <c r="D223" s="1879"/>
      <c r="E223" s="1880"/>
      <c r="F223" s="460"/>
      <c r="G223" s="461">
        <f>SUM(G218,G151)</f>
        <v>12380731</v>
      </c>
      <c r="H223" s="461">
        <f>SUM(H218,H151)</f>
        <v>13111714</v>
      </c>
      <c r="I223" s="461">
        <f>SUM(I218,I151)</f>
        <v>13552260</v>
      </c>
      <c r="J223" s="462"/>
      <c r="K223" s="461"/>
      <c r="L223" s="461"/>
      <c r="M223" s="461"/>
      <c r="N223" s="461"/>
      <c r="O223" s="461"/>
      <c r="P223" s="461"/>
      <c r="Q223" s="461"/>
      <c r="R223" s="463"/>
      <c r="S223" s="379"/>
      <c r="T223" s="379"/>
      <c r="U223" s="379"/>
      <c r="V223" s="379"/>
      <c r="W223" s="379"/>
      <c r="X223" s="379"/>
      <c r="Y223" s="379"/>
      <c r="Z223" s="379"/>
      <c r="AA223" s="379"/>
      <c r="AB223" s="379"/>
      <c r="AC223" s="379"/>
      <c r="AD223" s="379"/>
      <c r="AE223" s="379"/>
    </row>
    <row r="224" spans="1:31" s="306" customFormat="1" ht="18" customHeight="1" x14ac:dyDescent="0.3">
      <c r="A224" s="279">
        <v>215</v>
      </c>
      <c r="B224" s="352"/>
      <c r="C224" s="330"/>
      <c r="D224" s="1030"/>
      <c r="E224" s="1066" t="s">
        <v>245</v>
      </c>
      <c r="F224" s="1067"/>
      <c r="G224" s="1031"/>
      <c r="H224" s="1031"/>
      <c r="I224" s="1334"/>
      <c r="J224" s="399">
        <f>SUM(K224:R224)</f>
        <v>14196982</v>
      </c>
      <c r="K224" s="1068">
        <f t="shared" ref="K224:R225" si="45">SUM(K219,K152)</f>
        <v>8305628</v>
      </c>
      <c r="L224" s="1068">
        <f t="shared" si="45"/>
        <v>1221040</v>
      </c>
      <c r="M224" s="1068">
        <f t="shared" si="45"/>
        <v>4422620</v>
      </c>
      <c r="N224" s="1068">
        <f t="shared" si="45"/>
        <v>0</v>
      </c>
      <c r="O224" s="1068">
        <f t="shared" si="45"/>
        <v>0</v>
      </c>
      <c r="P224" s="1068">
        <f t="shared" si="45"/>
        <v>247694</v>
      </c>
      <c r="Q224" s="1068">
        <f t="shared" si="45"/>
        <v>0</v>
      </c>
      <c r="R224" s="1069">
        <f t="shared" si="45"/>
        <v>0</v>
      </c>
      <c r="S224" s="376"/>
      <c r="T224" s="376"/>
      <c r="U224" s="376"/>
      <c r="V224" s="376"/>
      <c r="W224" s="376"/>
      <c r="X224" s="376"/>
      <c r="Y224" s="376"/>
      <c r="Z224" s="376"/>
      <c r="AA224" s="376"/>
      <c r="AB224" s="376"/>
      <c r="AC224" s="376"/>
      <c r="AD224" s="376"/>
      <c r="AE224" s="376"/>
    </row>
    <row r="225" spans="1:31" s="306" customFormat="1" ht="18" customHeight="1" x14ac:dyDescent="0.3">
      <c r="A225" s="279">
        <v>216</v>
      </c>
      <c r="B225" s="352"/>
      <c r="C225" s="1479"/>
      <c r="D225" s="1030"/>
      <c r="E225" s="377" t="s">
        <v>810</v>
      </c>
      <c r="F225" s="1067"/>
      <c r="G225" s="1031"/>
      <c r="H225" s="1031"/>
      <c r="I225" s="1334"/>
      <c r="J225" s="1474">
        <f>SUM(K225:R225)</f>
        <v>16031047</v>
      </c>
      <c r="K225" s="1478">
        <f t="shared" si="45"/>
        <v>8995184</v>
      </c>
      <c r="L225" s="1478">
        <f t="shared" si="45"/>
        <v>1319409</v>
      </c>
      <c r="M225" s="1478">
        <f t="shared" si="45"/>
        <v>5263464</v>
      </c>
      <c r="N225" s="1478">
        <f t="shared" si="45"/>
        <v>0</v>
      </c>
      <c r="O225" s="1478">
        <f t="shared" si="45"/>
        <v>0</v>
      </c>
      <c r="P225" s="1478">
        <f t="shared" si="45"/>
        <v>451490</v>
      </c>
      <c r="Q225" s="1478">
        <f t="shared" si="45"/>
        <v>1500</v>
      </c>
      <c r="R225" s="1483">
        <f t="shared" si="45"/>
        <v>0</v>
      </c>
      <c r="S225" s="376"/>
      <c r="T225" s="376"/>
      <c r="U225" s="376"/>
      <c r="V225" s="376"/>
      <c r="W225" s="376"/>
      <c r="X225" s="376"/>
      <c r="Y225" s="376"/>
      <c r="Z225" s="376"/>
      <c r="AA225" s="376"/>
      <c r="AB225" s="376"/>
      <c r="AC225" s="376"/>
      <c r="AD225" s="376"/>
      <c r="AE225" s="376"/>
    </row>
    <row r="226" spans="1:31" s="306" customFormat="1" ht="18" customHeight="1" x14ac:dyDescent="0.3">
      <c r="A226" s="279">
        <v>217</v>
      </c>
      <c r="B226" s="300"/>
      <c r="C226" s="1074"/>
      <c r="D226" s="370"/>
      <c r="E226" s="910" t="s">
        <v>652</v>
      </c>
      <c r="F226" s="1070"/>
      <c r="G226" s="372"/>
      <c r="H226" s="372"/>
      <c r="I226" s="1331"/>
      <c r="J226" s="1033">
        <f>SUM(K226:R226)</f>
        <v>357107</v>
      </c>
      <c r="K226" s="1073">
        <f t="shared" ref="K226:R226" si="46">K221+K154</f>
        <v>83698</v>
      </c>
      <c r="L226" s="1073">
        <f t="shared" si="46"/>
        <v>5250</v>
      </c>
      <c r="M226" s="1073">
        <f t="shared" si="46"/>
        <v>208743</v>
      </c>
      <c r="N226" s="1073">
        <f t="shared" si="46"/>
        <v>0</v>
      </c>
      <c r="O226" s="1073">
        <f t="shared" si="46"/>
        <v>609</v>
      </c>
      <c r="P226" s="1073">
        <f t="shared" si="46"/>
        <v>58807</v>
      </c>
      <c r="Q226" s="1073">
        <f t="shared" si="46"/>
        <v>0</v>
      </c>
      <c r="R226" s="1083">
        <f t="shared" si="46"/>
        <v>0</v>
      </c>
      <c r="S226" s="376"/>
      <c r="T226" s="376"/>
      <c r="U226" s="376"/>
      <c r="V226" s="376"/>
      <c r="W226" s="376"/>
      <c r="X226" s="376"/>
      <c r="Y226" s="376"/>
      <c r="Z226" s="376"/>
      <c r="AA226" s="376"/>
      <c r="AB226" s="376"/>
      <c r="AC226" s="376"/>
      <c r="AD226" s="376"/>
      <c r="AE226" s="376"/>
    </row>
    <row r="227" spans="1:31" s="306" customFormat="1" ht="18" customHeight="1" thickBot="1" x14ac:dyDescent="0.35">
      <c r="A227" s="279">
        <v>218</v>
      </c>
      <c r="B227" s="897"/>
      <c r="C227" s="1059"/>
      <c r="D227" s="1060"/>
      <c r="E227" s="377" t="s">
        <v>858</v>
      </c>
      <c r="F227" s="1057"/>
      <c r="G227" s="1058"/>
      <c r="H227" s="1058"/>
      <c r="I227" s="1343"/>
      <c r="J227" s="368">
        <f>SUM(K227:R227)</f>
        <v>16388154</v>
      </c>
      <c r="K227" s="1072">
        <f>SUM(K225:K226)</f>
        <v>9078882</v>
      </c>
      <c r="L227" s="1072">
        <f t="shared" ref="L227:R227" si="47">SUM(L225:L226)</f>
        <v>1324659</v>
      </c>
      <c r="M227" s="1072">
        <f t="shared" si="47"/>
        <v>5472207</v>
      </c>
      <c r="N227" s="1072">
        <f t="shared" si="47"/>
        <v>0</v>
      </c>
      <c r="O227" s="1072">
        <f t="shared" si="47"/>
        <v>609</v>
      </c>
      <c r="P227" s="1072">
        <f t="shared" si="47"/>
        <v>510297</v>
      </c>
      <c r="Q227" s="1072">
        <f t="shared" si="47"/>
        <v>1500</v>
      </c>
      <c r="R227" s="1084">
        <f t="shared" si="47"/>
        <v>0</v>
      </c>
      <c r="S227" s="376"/>
      <c r="T227" s="376"/>
      <c r="U227" s="376"/>
      <c r="V227" s="376"/>
      <c r="W227" s="376"/>
      <c r="X227" s="376"/>
      <c r="Y227" s="376"/>
      <c r="Z227" s="376"/>
      <c r="AA227" s="376"/>
      <c r="AB227" s="376"/>
      <c r="AC227" s="376"/>
      <c r="AD227" s="376"/>
      <c r="AE227" s="376"/>
    </row>
    <row r="228" spans="1:31" s="284" customFormat="1" ht="15" customHeight="1" x14ac:dyDescent="0.3">
      <c r="A228" s="279">
        <v>219</v>
      </c>
      <c r="B228" s="1892" t="s">
        <v>129</v>
      </c>
      <c r="C228" s="1893"/>
      <c r="D228" s="1893"/>
      <c r="E228" s="1894"/>
      <c r="F228" s="464"/>
      <c r="G228" s="429"/>
      <c r="H228" s="429"/>
      <c r="I228" s="1347"/>
      <c r="J228" s="465"/>
      <c r="K228" s="429"/>
      <c r="L228" s="429"/>
      <c r="M228" s="429"/>
      <c r="N228" s="429"/>
      <c r="O228" s="429"/>
      <c r="P228" s="429"/>
      <c r="Q228" s="429"/>
      <c r="R228" s="430"/>
      <c r="S228" s="88"/>
      <c r="T228" s="65"/>
      <c r="U228" s="65"/>
      <c r="V228" s="65"/>
      <c r="W228" s="65"/>
      <c r="X228" s="65"/>
      <c r="Y228" s="65"/>
      <c r="Z228" s="65"/>
      <c r="AA228" s="65"/>
      <c r="AB228" s="65"/>
      <c r="AC228" s="65"/>
      <c r="AD228" s="65"/>
      <c r="AE228" s="65"/>
    </row>
    <row r="229" spans="1:31" s="284" customFormat="1" ht="15" customHeight="1" x14ac:dyDescent="0.3">
      <c r="A229" s="279">
        <v>220</v>
      </c>
      <c r="B229" s="1895" t="s">
        <v>130</v>
      </c>
      <c r="C229" s="1896"/>
      <c r="D229" s="1896"/>
      <c r="E229" s="1896"/>
      <c r="F229" s="1897"/>
      <c r="G229" s="450">
        <f>SUM(G93:G126,G88,G58,G146)</f>
        <v>8601370</v>
      </c>
      <c r="H229" s="450">
        <f>SUM(H93:H126,H88,H58,H146)</f>
        <v>9310672</v>
      </c>
      <c r="I229" s="1348">
        <f>SUM(I93:I126,I88,I58,I146)</f>
        <v>9612099</v>
      </c>
      <c r="J229" s="466"/>
      <c r="K229" s="418"/>
      <c r="L229" s="418"/>
      <c r="M229" s="418"/>
      <c r="N229" s="418"/>
      <c r="O229" s="418"/>
      <c r="P229" s="418"/>
      <c r="Q229" s="418"/>
      <c r="R229" s="467"/>
      <c r="S229" s="88"/>
      <c r="T229" s="65"/>
      <c r="U229" s="65"/>
      <c r="V229" s="65"/>
      <c r="W229" s="65"/>
      <c r="X229" s="65"/>
      <c r="Y229" s="65"/>
      <c r="Z229" s="65"/>
      <c r="AA229" s="65"/>
      <c r="AB229" s="65"/>
      <c r="AC229" s="65"/>
      <c r="AD229" s="65"/>
      <c r="AE229" s="65"/>
    </row>
    <row r="230" spans="1:31" s="306" customFormat="1" ht="15" customHeight="1" x14ac:dyDescent="0.3">
      <c r="A230" s="279">
        <v>221</v>
      </c>
      <c r="B230" s="468"/>
      <c r="C230" s="469"/>
      <c r="D230" s="469"/>
      <c r="E230" s="371" t="s">
        <v>245</v>
      </c>
      <c r="F230" s="470"/>
      <c r="G230" s="471"/>
      <c r="H230" s="471"/>
      <c r="I230" s="1349"/>
      <c r="J230" s="1390">
        <f>SUM(K230:R230)</f>
        <v>9916745</v>
      </c>
      <c r="K230" s="1390">
        <f t="shared" ref="K230:R231" si="48">SUM(K59,K89,K94,K105,K111,K120,K147,)</f>
        <v>5580881</v>
      </c>
      <c r="L230" s="1390">
        <f t="shared" si="48"/>
        <v>841337</v>
      </c>
      <c r="M230" s="1390">
        <f t="shared" si="48"/>
        <v>3397966</v>
      </c>
      <c r="N230" s="1390">
        <f t="shared" si="48"/>
        <v>0</v>
      </c>
      <c r="O230" s="1390">
        <f t="shared" si="48"/>
        <v>0</v>
      </c>
      <c r="P230" s="1390">
        <f t="shared" si="48"/>
        <v>96561</v>
      </c>
      <c r="Q230" s="1390">
        <f t="shared" si="48"/>
        <v>0</v>
      </c>
      <c r="R230" s="1391">
        <f t="shared" si="48"/>
        <v>0</v>
      </c>
      <c r="S230" s="380"/>
      <c r="T230" s="376"/>
      <c r="U230" s="376"/>
      <c r="V230" s="376"/>
      <c r="W230" s="376"/>
      <c r="X230" s="376"/>
      <c r="Y230" s="376"/>
      <c r="Z230" s="376"/>
      <c r="AA230" s="376"/>
      <c r="AB230" s="376"/>
      <c r="AC230" s="376"/>
      <c r="AD230" s="376"/>
      <c r="AE230" s="376"/>
    </row>
    <row r="231" spans="1:31" s="306" customFormat="1" ht="15" customHeight="1" x14ac:dyDescent="0.3">
      <c r="A231" s="279">
        <v>222</v>
      </c>
      <c r="B231" s="468"/>
      <c r="C231" s="469"/>
      <c r="D231" s="469"/>
      <c r="E231" s="377" t="s">
        <v>810</v>
      </c>
      <c r="F231" s="470"/>
      <c r="G231" s="471"/>
      <c r="H231" s="471"/>
      <c r="I231" s="1349"/>
      <c r="J231" s="451">
        <f>SUM(K231:R231)</f>
        <v>10756676</v>
      </c>
      <c r="K231" s="451">
        <f t="shared" si="48"/>
        <v>5858446</v>
      </c>
      <c r="L231" s="451">
        <f t="shared" si="48"/>
        <v>883698</v>
      </c>
      <c r="M231" s="451">
        <f t="shared" si="48"/>
        <v>3821775</v>
      </c>
      <c r="N231" s="451">
        <f t="shared" si="48"/>
        <v>0</v>
      </c>
      <c r="O231" s="451">
        <f t="shared" si="48"/>
        <v>0</v>
      </c>
      <c r="P231" s="451">
        <f t="shared" si="48"/>
        <v>191257</v>
      </c>
      <c r="Q231" s="451">
        <f t="shared" si="48"/>
        <v>1500</v>
      </c>
      <c r="R231" s="452">
        <f t="shared" si="48"/>
        <v>0</v>
      </c>
      <c r="S231" s="380"/>
      <c r="T231" s="376"/>
      <c r="U231" s="376"/>
      <c r="V231" s="376"/>
      <c r="W231" s="376"/>
      <c r="X231" s="376"/>
      <c r="Y231" s="376"/>
      <c r="Z231" s="376"/>
      <c r="AA231" s="376"/>
      <c r="AB231" s="376"/>
      <c r="AC231" s="376"/>
      <c r="AD231" s="376"/>
      <c r="AE231" s="376"/>
    </row>
    <row r="232" spans="1:31" s="306" customFormat="1" ht="15" customHeight="1" x14ac:dyDescent="0.3">
      <c r="A232" s="279">
        <v>223</v>
      </c>
      <c r="B232" s="468"/>
      <c r="C232" s="469"/>
      <c r="D232" s="469"/>
      <c r="E232" s="910" t="s">
        <v>652</v>
      </c>
      <c r="F232" s="470"/>
      <c r="G232" s="471"/>
      <c r="H232" s="471"/>
      <c r="I232" s="1349"/>
      <c r="J232" s="1033">
        <f>SUM(K232:R232)</f>
        <v>141602</v>
      </c>
      <c r="K232" s="1073">
        <f t="shared" ref="K232:R232" si="49">SUM(K61,K91,K96,K107,K113,K122,K149,)+K97+K114+K115+K108+K98+K99+K116+K100+K101</f>
        <v>78523</v>
      </c>
      <c r="L232" s="1073">
        <f t="shared" si="49"/>
        <v>8554</v>
      </c>
      <c r="M232" s="1073">
        <f t="shared" si="49"/>
        <v>42109</v>
      </c>
      <c r="N232" s="1073">
        <f t="shared" si="49"/>
        <v>0</v>
      </c>
      <c r="O232" s="1073">
        <f t="shared" si="49"/>
        <v>609</v>
      </c>
      <c r="P232" s="1073">
        <f t="shared" si="49"/>
        <v>11807</v>
      </c>
      <c r="Q232" s="1073">
        <f t="shared" si="49"/>
        <v>0</v>
      </c>
      <c r="R232" s="1083">
        <f t="shared" si="49"/>
        <v>0</v>
      </c>
      <c r="S232" s="380"/>
      <c r="T232" s="376"/>
      <c r="U232" s="376"/>
      <c r="V232" s="376"/>
      <c r="W232" s="376"/>
      <c r="X232" s="376"/>
      <c r="Y232" s="376"/>
      <c r="Z232" s="376"/>
      <c r="AA232" s="376"/>
      <c r="AB232" s="376"/>
      <c r="AC232" s="376"/>
      <c r="AD232" s="376"/>
      <c r="AE232" s="376"/>
    </row>
    <row r="233" spans="1:31" s="306" customFormat="1" ht="15" customHeight="1" x14ac:dyDescent="0.3">
      <c r="A233" s="279">
        <v>224</v>
      </c>
      <c r="B233" s="468"/>
      <c r="C233" s="469"/>
      <c r="D233" s="469"/>
      <c r="E233" s="377" t="s">
        <v>858</v>
      </c>
      <c r="F233" s="470"/>
      <c r="G233" s="471"/>
      <c r="H233" s="471"/>
      <c r="I233" s="1349"/>
      <c r="J233" s="368">
        <f>SUM(K233:R233)</f>
        <v>10898278</v>
      </c>
      <c r="K233" s="451">
        <f>SUM(K231:K232)</f>
        <v>5936969</v>
      </c>
      <c r="L233" s="451">
        <f t="shared" ref="L233:R233" si="50">SUM(L231:L232)</f>
        <v>892252</v>
      </c>
      <c r="M233" s="451">
        <f t="shared" si="50"/>
        <v>3863884</v>
      </c>
      <c r="N233" s="451">
        <f t="shared" si="50"/>
        <v>0</v>
      </c>
      <c r="O233" s="451">
        <f t="shared" si="50"/>
        <v>609</v>
      </c>
      <c r="P233" s="451">
        <f t="shared" si="50"/>
        <v>203064</v>
      </c>
      <c r="Q233" s="451">
        <f t="shared" si="50"/>
        <v>1500</v>
      </c>
      <c r="R233" s="452">
        <f t="shared" si="50"/>
        <v>0</v>
      </c>
      <c r="S233" s="380"/>
      <c r="T233" s="376"/>
      <c r="U233" s="376"/>
      <c r="V233" s="376"/>
      <c r="W233" s="376"/>
      <c r="X233" s="376"/>
      <c r="Y233" s="376"/>
      <c r="Z233" s="376"/>
      <c r="AA233" s="376"/>
      <c r="AB233" s="376"/>
      <c r="AC233" s="376"/>
      <c r="AD233" s="376"/>
      <c r="AE233" s="376"/>
    </row>
    <row r="234" spans="1:31" s="284" customFormat="1" ht="15" customHeight="1" x14ac:dyDescent="0.3">
      <c r="A234" s="279">
        <v>225</v>
      </c>
      <c r="B234" s="1898" t="s">
        <v>129</v>
      </c>
      <c r="C234" s="1897"/>
      <c r="D234" s="1897"/>
      <c r="E234" s="1899"/>
      <c r="F234" s="472"/>
      <c r="G234" s="450"/>
      <c r="H234" s="450"/>
      <c r="I234" s="1350"/>
      <c r="J234" s="1392"/>
      <c r="K234" s="450"/>
      <c r="L234" s="450"/>
      <c r="M234" s="450"/>
      <c r="N234" s="450"/>
      <c r="O234" s="450"/>
      <c r="P234" s="450"/>
      <c r="Q234" s="450"/>
      <c r="R234" s="1393"/>
      <c r="S234" s="88"/>
      <c r="T234" s="65"/>
      <c r="U234" s="65"/>
      <c r="V234" s="65"/>
      <c r="W234" s="65"/>
      <c r="X234" s="65"/>
      <c r="Y234" s="65"/>
      <c r="Z234" s="65"/>
      <c r="AA234" s="65"/>
      <c r="AB234" s="65"/>
      <c r="AC234" s="65"/>
      <c r="AD234" s="65"/>
      <c r="AE234" s="65"/>
    </row>
    <row r="235" spans="1:31" s="284" customFormat="1" ht="15" customHeight="1" x14ac:dyDescent="0.3">
      <c r="A235" s="279">
        <v>226</v>
      </c>
      <c r="B235" s="1898" t="s">
        <v>131</v>
      </c>
      <c r="C235" s="1897"/>
      <c r="D235" s="1897"/>
      <c r="E235" s="1899"/>
      <c r="F235" s="1899"/>
      <c r="G235" s="450">
        <f>SUM(G127:G135)</f>
        <v>1614856</v>
      </c>
      <c r="H235" s="450">
        <f>SUM(H127:H135)</f>
        <v>1216220</v>
      </c>
      <c r="I235" s="1350">
        <f>SUM(I127:I135)</f>
        <v>1519544</v>
      </c>
      <c r="J235" s="1392"/>
      <c r="K235" s="450"/>
      <c r="L235" s="450"/>
      <c r="M235" s="450"/>
      <c r="N235" s="450"/>
      <c r="O235" s="450"/>
      <c r="P235" s="450"/>
      <c r="Q235" s="450"/>
      <c r="R235" s="1393"/>
      <c r="S235" s="88"/>
      <c r="T235" s="65"/>
      <c r="U235" s="65"/>
      <c r="V235" s="65"/>
      <c r="W235" s="65"/>
      <c r="X235" s="65"/>
      <c r="Y235" s="65"/>
      <c r="Z235" s="65"/>
      <c r="AA235" s="65"/>
      <c r="AB235" s="65"/>
      <c r="AC235" s="65"/>
      <c r="AD235" s="65"/>
      <c r="AE235" s="65"/>
    </row>
    <row r="236" spans="1:31" s="306" customFormat="1" ht="15" customHeight="1" x14ac:dyDescent="0.3">
      <c r="A236" s="279">
        <v>227</v>
      </c>
      <c r="B236" s="468"/>
      <c r="C236" s="469"/>
      <c r="D236" s="469"/>
      <c r="E236" s="371" t="s">
        <v>245</v>
      </c>
      <c r="F236" s="470"/>
      <c r="G236" s="471"/>
      <c r="H236" s="471"/>
      <c r="I236" s="1349"/>
      <c r="J236" s="1394">
        <f>SUM(K236:R236)</f>
        <v>1423604</v>
      </c>
      <c r="K236" s="1390">
        <f t="shared" ref="K236:R237" si="51">SUM(K128,K135)</f>
        <v>774015</v>
      </c>
      <c r="L236" s="1390">
        <f t="shared" si="51"/>
        <v>86633</v>
      </c>
      <c r="M236" s="1390">
        <f t="shared" si="51"/>
        <v>542770</v>
      </c>
      <c r="N236" s="1390">
        <f t="shared" si="51"/>
        <v>0</v>
      </c>
      <c r="O236" s="1390">
        <f t="shared" si="51"/>
        <v>0</v>
      </c>
      <c r="P236" s="1390">
        <f t="shared" si="51"/>
        <v>20186</v>
      </c>
      <c r="Q236" s="1390">
        <f t="shared" si="51"/>
        <v>0</v>
      </c>
      <c r="R236" s="1391">
        <f t="shared" si="51"/>
        <v>0</v>
      </c>
      <c r="S236" s="380"/>
      <c r="T236" s="376"/>
      <c r="U236" s="376"/>
      <c r="V236" s="376"/>
      <c r="W236" s="376"/>
      <c r="X236" s="376"/>
      <c r="Y236" s="376"/>
      <c r="Z236" s="376"/>
      <c r="AA236" s="376"/>
      <c r="AB236" s="376"/>
      <c r="AC236" s="376"/>
      <c r="AD236" s="376"/>
      <c r="AE236" s="376"/>
    </row>
    <row r="237" spans="1:31" s="306" customFormat="1" ht="15" customHeight="1" x14ac:dyDescent="0.3">
      <c r="A237" s="279">
        <v>228</v>
      </c>
      <c r="B237" s="468"/>
      <c r="C237" s="469"/>
      <c r="D237" s="469"/>
      <c r="E237" s="377" t="s">
        <v>810</v>
      </c>
      <c r="F237" s="470"/>
      <c r="G237" s="471"/>
      <c r="H237" s="471"/>
      <c r="I237" s="1349"/>
      <c r="J237" s="1480">
        <f>SUM(K237:R237)</f>
        <v>1514196</v>
      </c>
      <c r="K237" s="451">
        <f t="shared" si="51"/>
        <v>798502</v>
      </c>
      <c r="L237" s="451">
        <f t="shared" si="51"/>
        <v>88130</v>
      </c>
      <c r="M237" s="451">
        <f t="shared" si="51"/>
        <v>587978</v>
      </c>
      <c r="N237" s="451">
        <f t="shared" si="51"/>
        <v>0</v>
      </c>
      <c r="O237" s="451">
        <f t="shared" si="51"/>
        <v>0</v>
      </c>
      <c r="P237" s="451">
        <f t="shared" si="51"/>
        <v>39586</v>
      </c>
      <c r="Q237" s="451">
        <f t="shared" si="51"/>
        <v>0</v>
      </c>
      <c r="R237" s="452">
        <f t="shared" si="51"/>
        <v>0</v>
      </c>
      <c r="S237" s="380"/>
      <c r="T237" s="376"/>
      <c r="U237" s="376"/>
      <c r="V237" s="376"/>
      <c r="W237" s="376"/>
      <c r="X237" s="376"/>
      <c r="Y237" s="376"/>
      <c r="Z237" s="376"/>
      <c r="AA237" s="376"/>
      <c r="AB237" s="376"/>
      <c r="AC237" s="376"/>
      <c r="AD237" s="376"/>
      <c r="AE237" s="376"/>
    </row>
    <row r="238" spans="1:31" s="306" customFormat="1" ht="15" customHeight="1" x14ac:dyDescent="0.3">
      <c r="A238" s="279">
        <v>229</v>
      </c>
      <c r="B238" s="468"/>
      <c r="C238" s="469"/>
      <c r="D238" s="469"/>
      <c r="E238" s="910" t="s">
        <v>652</v>
      </c>
      <c r="F238" s="470"/>
      <c r="G238" s="471"/>
      <c r="H238" s="471"/>
      <c r="I238" s="1349"/>
      <c r="J238" s="1033">
        <f>SUM(K238:R238)</f>
        <v>202465</v>
      </c>
      <c r="K238" s="1073">
        <f>SUM(K130,K137)+K132+K131+K138+K139</f>
        <v>-6365</v>
      </c>
      <c r="L238" s="1073">
        <f t="shared" ref="L238:R238" si="52">SUM(L130,L137)+L132+L131+L138+L139</f>
        <v>-4804</v>
      </c>
      <c r="M238" s="1073">
        <f t="shared" si="52"/>
        <v>166634</v>
      </c>
      <c r="N238" s="1073">
        <f t="shared" si="52"/>
        <v>0</v>
      </c>
      <c r="O238" s="1073">
        <f t="shared" si="52"/>
        <v>0</v>
      </c>
      <c r="P238" s="1073">
        <f t="shared" si="52"/>
        <v>47000</v>
      </c>
      <c r="Q238" s="1073">
        <f t="shared" si="52"/>
        <v>0</v>
      </c>
      <c r="R238" s="1083">
        <f t="shared" si="52"/>
        <v>0</v>
      </c>
      <c r="S238" s="380"/>
      <c r="T238" s="376"/>
      <c r="U238" s="376"/>
      <c r="V238" s="376"/>
      <c r="W238" s="376"/>
      <c r="X238" s="376"/>
      <c r="Y238" s="376"/>
      <c r="Z238" s="376"/>
      <c r="AA238" s="376"/>
      <c r="AB238" s="376"/>
      <c r="AC238" s="376"/>
      <c r="AD238" s="376"/>
      <c r="AE238" s="376"/>
    </row>
    <row r="239" spans="1:31" s="306" customFormat="1" ht="15" customHeight="1" x14ac:dyDescent="0.3">
      <c r="A239" s="279">
        <v>230</v>
      </c>
      <c r="B239" s="468"/>
      <c r="C239" s="469"/>
      <c r="D239" s="469"/>
      <c r="E239" s="377" t="s">
        <v>858</v>
      </c>
      <c r="F239" s="470"/>
      <c r="G239" s="471"/>
      <c r="H239" s="471"/>
      <c r="I239" s="1349"/>
      <c r="J239" s="368">
        <f>SUM(K239:R239)</f>
        <v>1716661</v>
      </c>
      <c r="K239" s="451">
        <f>SUM(K237:K238)</f>
        <v>792137</v>
      </c>
      <c r="L239" s="451">
        <f t="shared" ref="L239:R239" si="53">SUM(L237:L238)</f>
        <v>83326</v>
      </c>
      <c r="M239" s="451">
        <f t="shared" si="53"/>
        <v>754612</v>
      </c>
      <c r="N239" s="451">
        <f t="shared" si="53"/>
        <v>0</v>
      </c>
      <c r="O239" s="451">
        <f t="shared" si="53"/>
        <v>0</v>
      </c>
      <c r="P239" s="451">
        <f t="shared" si="53"/>
        <v>86586</v>
      </c>
      <c r="Q239" s="451">
        <f t="shared" si="53"/>
        <v>0</v>
      </c>
      <c r="R239" s="452">
        <f t="shared" si="53"/>
        <v>0</v>
      </c>
      <c r="S239" s="380"/>
      <c r="T239" s="376"/>
      <c r="U239" s="376"/>
      <c r="V239" s="376"/>
      <c r="W239" s="376"/>
      <c r="X239" s="376"/>
      <c r="Y239" s="376"/>
      <c r="Z239" s="376"/>
      <c r="AA239" s="376"/>
      <c r="AB239" s="376"/>
      <c r="AC239" s="376"/>
      <c r="AD239" s="376"/>
      <c r="AE239" s="376"/>
    </row>
    <row r="240" spans="1:31" s="284" customFormat="1" ht="15" customHeight="1" x14ac:dyDescent="0.3">
      <c r="A240" s="279">
        <v>231</v>
      </c>
      <c r="B240" s="1898" t="s">
        <v>129</v>
      </c>
      <c r="C240" s="1897"/>
      <c r="D240" s="1897"/>
      <c r="E240" s="1899"/>
      <c r="F240" s="472"/>
      <c r="G240" s="450"/>
      <c r="H240" s="450"/>
      <c r="I240" s="1350"/>
      <c r="J240" s="1392"/>
      <c r="K240" s="451"/>
      <c r="L240" s="451"/>
      <c r="M240" s="451"/>
      <c r="N240" s="451"/>
      <c r="O240" s="451"/>
      <c r="P240" s="451"/>
      <c r="Q240" s="451"/>
      <c r="R240" s="452"/>
      <c r="S240" s="88"/>
      <c r="T240" s="65"/>
      <c r="U240" s="65"/>
      <c r="V240" s="65"/>
      <c r="W240" s="65"/>
      <c r="X240" s="65"/>
      <c r="Y240" s="65"/>
      <c r="Z240" s="65"/>
      <c r="AA240" s="65"/>
      <c r="AB240" s="65"/>
      <c r="AC240" s="65"/>
      <c r="AD240" s="65"/>
      <c r="AE240" s="65"/>
    </row>
    <row r="241" spans="1:31" s="284" customFormat="1" ht="15" customHeight="1" x14ac:dyDescent="0.3">
      <c r="A241" s="279">
        <v>232</v>
      </c>
      <c r="B241" s="1886" t="s">
        <v>132</v>
      </c>
      <c r="C241" s="1887"/>
      <c r="D241" s="1887"/>
      <c r="E241" s="1888"/>
      <c r="F241" s="1888"/>
      <c r="G241" s="473">
        <f>SUM(G218)</f>
        <v>2164505</v>
      </c>
      <c r="H241" s="473">
        <f>SUM(H218)</f>
        <v>2584822</v>
      </c>
      <c r="I241" s="1351">
        <f>SUM(I218)</f>
        <v>2420617</v>
      </c>
      <c r="J241" s="1392"/>
      <c r="K241" s="450"/>
      <c r="L241" s="450"/>
      <c r="M241" s="450"/>
      <c r="N241" s="450"/>
      <c r="O241" s="450"/>
      <c r="P241" s="450"/>
      <c r="Q241" s="450"/>
      <c r="R241" s="1393"/>
      <c r="S241" s="88"/>
      <c r="T241" s="65"/>
      <c r="U241" s="65"/>
      <c r="V241" s="65"/>
      <c r="W241" s="65"/>
      <c r="X241" s="65"/>
      <c r="Y241" s="65"/>
      <c r="Z241" s="65"/>
      <c r="AA241" s="65"/>
      <c r="AB241" s="65"/>
      <c r="AC241" s="65"/>
      <c r="AD241" s="65"/>
      <c r="AE241" s="65"/>
    </row>
    <row r="242" spans="1:31" s="318" customFormat="1" ht="15" customHeight="1" x14ac:dyDescent="0.3">
      <c r="A242" s="279">
        <v>233</v>
      </c>
      <c r="B242" s="1075"/>
      <c r="C242" s="1076"/>
      <c r="D242" s="1076"/>
      <c r="E242" s="353" t="s">
        <v>245</v>
      </c>
      <c r="F242" s="1077"/>
      <c r="G242" s="1078"/>
      <c r="H242" s="1078"/>
      <c r="I242" s="1352"/>
      <c r="J242" s="1395">
        <f>SUM(K242:R242)</f>
        <v>2856633</v>
      </c>
      <c r="K242" s="1068">
        <f>K219</f>
        <v>1950732</v>
      </c>
      <c r="L242" s="1068">
        <f t="shared" ref="L242:R242" si="54">L219</f>
        <v>293070</v>
      </c>
      <c r="M242" s="1068">
        <f t="shared" si="54"/>
        <v>481884</v>
      </c>
      <c r="N242" s="1068">
        <f t="shared" si="54"/>
        <v>0</v>
      </c>
      <c r="O242" s="1068">
        <f t="shared" si="54"/>
        <v>0</v>
      </c>
      <c r="P242" s="1068">
        <f t="shared" si="54"/>
        <v>130947</v>
      </c>
      <c r="Q242" s="1068">
        <f t="shared" si="54"/>
        <v>0</v>
      </c>
      <c r="R242" s="1069">
        <f t="shared" si="54"/>
        <v>0</v>
      </c>
      <c r="S242" s="380"/>
      <c r="T242" s="380"/>
      <c r="U242" s="380"/>
      <c r="V242" s="380"/>
      <c r="W242" s="380"/>
      <c r="X242" s="380"/>
      <c r="Y242" s="380"/>
      <c r="Z242" s="380"/>
      <c r="AA242" s="380"/>
      <c r="AB242" s="380"/>
      <c r="AC242" s="380"/>
      <c r="AD242" s="380"/>
      <c r="AE242" s="380"/>
    </row>
    <row r="243" spans="1:31" s="318" customFormat="1" ht="15" customHeight="1" x14ac:dyDescent="0.3">
      <c r="A243" s="279">
        <v>234</v>
      </c>
      <c r="B243" s="1075"/>
      <c r="C243" s="1076"/>
      <c r="D243" s="1076"/>
      <c r="E243" s="377" t="s">
        <v>810</v>
      </c>
      <c r="F243" s="1077"/>
      <c r="G243" s="1078"/>
      <c r="H243" s="1078"/>
      <c r="I243" s="1352"/>
      <c r="J243" s="1481">
        <f>SUM(K243:R243)</f>
        <v>3760175</v>
      </c>
      <c r="K243" s="1478">
        <f>K220</f>
        <v>2338236</v>
      </c>
      <c r="L243" s="1478">
        <f t="shared" ref="L243:R243" si="55">L220</f>
        <v>347581</v>
      </c>
      <c r="M243" s="1478">
        <f t="shared" si="55"/>
        <v>853711</v>
      </c>
      <c r="N243" s="1478">
        <f t="shared" si="55"/>
        <v>0</v>
      </c>
      <c r="O243" s="1478">
        <f t="shared" si="55"/>
        <v>0</v>
      </c>
      <c r="P243" s="1478">
        <f t="shared" si="55"/>
        <v>220647</v>
      </c>
      <c r="Q243" s="1478">
        <f t="shared" si="55"/>
        <v>0</v>
      </c>
      <c r="R243" s="1483">
        <f t="shared" si="55"/>
        <v>0</v>
      </c>
      <c r="S243" s="380"/>
      <c r="T243" s="380"/>
      <c r="U243" s="380"/>
      <c r="V243" s="380"/>
      <c r="W243" s="380"/>
      <c r="X243" s="380"/>
      <c r="Y243" s="380"/>
      <c r="Z243" s="380"/>
      <c r="AA243" s="380"/>
      <c r="AB243" s="380"/>
      <c r="AC243" s="380"/>
      <c r="AD243" s="380"/>
      <c r="AE243" s="380"/>
    </row>
    <row r="244" spans="1:31" s="318" customFormat="1" ht="15" customHeight="1" x14ac:dyDescent="0.3">
      <c r="A244" s="279">
        <v>235</v>
      </c>
      <c r="B244" s="468"/>
      <c r="C244" s="470"/>
      <c r="D244" s="470"/>
      <c r="E244" s="1079" t="s">
        <v>652</v>
      </c>
      <c r="F244" s="470"/>
      <c r="G244" s="471"/>
      <c r="H244" s="471"/>
      <c r="I244" s="1349"/>
      <c r="J244" s="1033">
        <f>SUM(K244:R244)</f>
        <v>13040</v>
      </c>
      <c r="K244" s="1396">
        <f>K221</f>
        <v>11540</v>
      </c>
      <c r="L244" s="1396">
        <f t="shared" ref="L244:R244" si="56">L221</f>
        <v>1500</v>
      </c>
      <c r="M244" s="1396">
        <f t="shared" si="56"/>
        <v>0</v>
      </c>
      <c r="N244" s="1396">
        <f t="shared" si="56"/>
        <v>0</v>
      </c>
      <c r="O244" s="1396">
        <f t="shared" si="56"/>
        <v>0</v>
      </c>
      <c r="P244" s="1396">
        <f t="shared" si="56"/>
        <v>0</v>
      </c>
      <c r="Q244" s="1396">
        <f t="shared" si="56"/>
        <v>0</v>
      </c>
      <c r="R244" s="1397">
        <f t="shared" si="56"/>
        <v>0</v>
      </c>
      <c r="S244" s="380"/>
      <c r="T244" s="380"/>
      <c r="U244" s="380"/>
      <c r="V244" s="380"/>
      <c r="W244" s="380"/>
      <c r="X244" s="380"/>
      <c r="Y244" s="380"/>
      <c r="Z244" s="380"/>
      <c r="AA244" s="380"/>
      <c r="AB244" s="380"/>
      <c r="AC244" s="380"/>
      <c r="AD244" s="380"/>
      <c r="AE244" s="380"/>
    </row>
    <row r="245" spans="1:31" s="318" customFormat="1" ht="15" customHeight="1" thickBot="1" x14ac:dyDescent="0.35">
      <c r="A245" s="279">
        <v>236</v>
      </c>
      <c r="B245" s="474"/>
      <c r="C245" s="475"/>
      <c r="D245" s="475"/>
      <c r="E245" s="926" t="s">
        <v>858</v>
      </c>
      <c r="F245" s="475"/>
      <c r="G245" s="476"/>
      <c r="H245" s="476"/>
      <c r="I245" s="1353"/>
      <c r="J245" s="1053">
        <f>SUM(K245:R245)</f>
        <v>3773215</v>
      </c>
      <c r="K245" s="1398">
        <f>SUM(K243:K244)</f>
        <v>2349776</v>
      </c>
      <c r="L245" s="1398">
        <f t="shared" ref="L245:R245" si="57">SUM(L243:L244)</f>
        <v>349081</v>
      </c>
      <c r="M245" s="1398">
        <f t="shared" si="57"/>
        <v>853711</v>
      </c>
      <c r="N245" s="1398">
        <f t="shared" si="57"/>
        <v>0</v>
      </c>
      <c r="O245" s="1398">
        <f t="shared" si="57"/>
        <v>0</v>
      </c>
      <c r="P245" s="1398">
        <f t="shared" si="57"/>
        <v>220647</v>
      </c>
      <c r="Q245" s="1398">
        <f t="shared" si="57"/>
        <v>0</v>
      </c>
      <c r="R245" s="1399">
        <f t="shared" si="57"/>
        <v>0</v>
      </c>
      <c r="S245" s="380"/>
      <c r="T245" s="380"/>
      <c r="U245" s="380"/>
      <c r="V245" s="380"/>
      <c r="W245" s="380"/>
      <c r="X245" s="380"/>
      <c r="Y245" s="380"/>
      <c r="Z245" s="380"/>
      <c r="AA245" s="380"/>
      <c r="AB245" s="380"/>
      <c r="AC245" s="380"/>
      <c r="AD245" s="380"/>
      <c r="AE245" s="380"/>
    </row>
    <row r="246" spans="1:31" s="482" customFormat="1" ht="18" customHeight="1" x14ac:dyDescent="0.3">
      <c r="A246" s="20"/>
      <c r="B246" s="477" t="s">
        <v>25</v>
      </c>
      <c r="C246" s="477"/>
      <c r="D246" s="477"/>
      <c r="E246" s="478"/>
      <c r="F246" s="479"/>
      <c r="G246" s="480"/>
      <c r="H246" s="480"/>
      <c r="I246" s="480"/>
      <c r="J246" s="481"/>
      <c r="K246" s="480"/>
      <c r="L246" s="480"/>
      <c r="M246" s="480"/>
      <c r="N246" s="480"/>
      <c r="O246" s="480"/>
      <c r="P246" s="480"/>
      <c r="Q246" s="480"/>
      <c r="R246" s="480"/>
      <c r="S246" s="88"/>
      <c r="T246" s="88"/>
      <c r="U246" s="88"/>
      <c r="V246" s="88"/>
      <c r="W246" s="88"/>
      <c r="X246" s="88"/>
      <c r="Y246" s="88"/>
      <c r="Z246" s="88"/>
      <c r="AA246" s="88"/>
      <c r="AB246" s="88"/>
      <c r="AC246" s="88"/>
      <c r="AD246" s="88"/>
      <c r="AE246" s="88"/>
    </row>
    <row r="247" spans="1:31" s="440" customFormat="1" ht="18" customHeight="1" x14ac:dyDescent="0.3">
      <c r="A247" s="20"/>
      <c r="B247" s="66" t="s">
        <v>26</v>
      </c>
      <c r="C247" s="66"/>
      <c r="D247" s="66"/>
      <c r="E247" s="87"/>
      <c r="F247" s="87"/>
      <c r="G247" s="87"/>
      <c r="H247" s="87"/>
      <c r="I247" s="87"/>
      <c r="J247" s="87"/>
      <c r="K247" s="203"/>
      <c r="L247" s="203"/>
      <c r="M247" s="203"/>
      <c r="N247" s="203"/>
      <c r="O247" s="203"/>
      <c r="P247" s="203"/>
      <c r="Q247" s="203"/>
      <c r="R247" s="203"/>
      <c r="S247" s="359"/>
      <c r="T247" s="359"/>
      <c r="U247" s="359"/>
      <c r="V247" s="359"/>
      <c r="W247" s="359"/>
      <c r="X247" s="359"/>
      <c r="Y247" s="359"/>
      <c r="Z247" s="359"/>
      <c r="AA247" s="359"/>
      <c r="AB247" s="359"/>
      <c r="AC247" s="359"/>
      <c r="AD247" s="359"/>
      <c r="AE247" s="359"/>
    </row>
    <row r="248" spans="1:31" ht="18" customHeight="1" x14ac:dyDescent="0.3">
      <c r="A248" s="20"/>
      <c r="B248" s="66" t="s">
        <v>27</v>
      </c>
      <c r="C248" s="66"/>
      <c r="D248" s="66"/>
    </row>
    <row r="249" spans="1:31" x14ac:dyDescent="0.3">
      <c r="K249" s="359"/>
      <c r="L249" s="359"/>
      <c r="M249" s="359"/>
      <c r="N249" s="359"/>
      <c r="O249" s="359"/>
      <c r="P249" s="359"/>
      <c r="Q249" s="359"/>
      <c r="R249" s="359"/>
    </row>
  </sheetData>
  <mergeCells count="44">
    <mergeCell ref="P8:R8"/>
    <mergeCell ref="D209:E209"/>
    <mergeCell ref="D206:E206"/>
    <mergeCell ref="C58:E58"/>
    <mergeCell ref="B2:G2"/>
    <mergeCell ref="B4:R4"/>
    <mergeCell ref="B5:R5"/>
    <mergeCell ref="Q6:R6"/>
    <mergeCell ref="D7:E7"/>
    <mergeCell ref="B8:B9"/>
    <mergeCell ref="C8:C9"/>
    <mergeCell ref="D8:E9"/>
    <mergeCell ref="F8:F9"/>
    <mergeCell ref="G8:G9"/>
    <mergeCell ref="H8:H9"/>
    <mergeCell ref="I8:I9"/>
    <mergeCell ref="J8:J9"/>
    <mergeCell ref="K8:O8"/>
    <mergeCell ref="D216:E216"/>
    <mergeCell ref="D217:E217"/>
    <mergeCell ref="B240:E240"/>
    <mergeCell ref="C88:E88"/>
    <mergeCell ref="D215:E215"/>
    <mergeCell ref="C141:E141"/>
    <mergeCell ref="B151:E151"/>
    <mergeCell ref="D103:E103"/>
    <mergeCell ref="D125:E125"/>
    <mergeCell ref="D126:E126"/>
    <mergeCell ref="D162:E162"/>
    <mergeCell ref="D173:E173"/>
    <mergeCell ref="D178:E178"/>
    <mergeCell ref="D183:E183"/>
    <mergeCell ref="B241:F241"/>
    <mergeCell ref="C218:E218"/>
    <mergeCell ref="B223:E223"/>
    <mergeCell ref="B228:E228"/>
    <mergeCell ref="B229:F229"/>
    <mergeCell ref="B234:E234"/>
    <mergeCell ref="B235:F235"/>
    <mergeCell ref="D214:E214"/>
    <mergeCell ref="D188:E188"/>
    <mergeCell ref="D193:E193"/>
    <mergeCell ref="D198:E198"/>
    <mergeCell ref="D202:E202"/>
  </mergeCells>
  <printOptions horizontalCentered="1"/>
  <pageMargins left="0.19685039370078741" right="0.19685039370078741" top="0.59055118110236227" bottom="0.59055118110236227" header="0.51181102362204722" footer="0.51181102362204722"/>
  <pageSetup paperSize="9" scale="57" fitToHeight="0" orientation="landscape" r:id="rId1"/>
  <headerFooter alignWithMargins="0">
    <oddFooter>&amp;C - &amp;P -</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IN161"/>
  <sheetViews>
    <sheetView view="pageBreakPreview" topLeftCell="D1" zoomScaleNormal="100" zoomScaleSheetLayoutView="100" workbookViewId="0">
      <selection activeCell="A6" sqref="A6:L160"/>
    </sheetView>
  </sheetViews>
  <sheetFormatPr defaultColWidth="9.28515625" defaultRowHeight="15" x14ac:dyDescent="0.3"/>
  <cols>
    <col min="1" max="1" width="3.7109375" style="501" customWidth="1"/>
    <col min="2" max="2" width="5.7109375" style="252" customWidth="1"/>
    <col min="3" max="3" width="5.7109375" style="491" customWidth="1"/>
    <col min="4" max="4" width="59.7109375" style="492" customWidth="1"/>
    <col min="5" max="5" width="6.7109375" style="493" customWidth="1"/>
    <col min="6" max="6" width="13.7109375" style="494" customWidth="1"/>
    <col min="7" max="7" width="14.5703125" style="494" customWidth="1"/>
    <col min="8" max="8" width="13.7109375" style="495" customWidth="1"/>
    <col min="9" max="10" width="15.7109375" style="495" customWidth="1"/>
    <col min="11" max="12" width="15.7109375" style="258" customWidth="1"/>
    <col min="13" max="16384" width="9.28515625" style="258"/>
  </cols>
  <sheetData>
    <row r="1" spans="1:248" ht="16.5" x14ac:dyDescent="0.3">
      <c r="B1" s="1839" t="s">
        <v>868</v>
      </c>
      <c r="C1" s="1839"/>
      <c r="D1" s="1839"/>
      <c r="E1" s="1839"/>
      <c r="F1" s="1839"/>
      <c r="G1" s="1839"/>
      <c r="H1" s="1839"/>
      <c r="I1" s="1839"/>
      <c r="J1" s="1839"/>
      <c r="K1" s="1839"/>
    </row>
    <row r="2" spans="1:248" s="489" customFormat="1" ht="18" customHeight="1" x14ac:dyDescent="0.3">
      <c r="A2" s="483"/>
      <c r="B2" s="1935" t="s">
        <v>797</v>
      </c>
      <c r="C2" s="1935"/>
      <c r="D2" s="1935"/>
      <c r="E2" s="484"/>
      <c r="F2" s="485"/>
      <c r="G2" s="485"/>
      <c r="H2" s="486"/>
      <c r="I2" s="487"/>
      <c r="J2" s="487"/>
      <c r="K2" s="488"/>
      <c r="L2" s="488"/>
      <c r="M2" s="488"/>
      <c r="N2" s="488"/>
      <c r="O2" s="488"/>
      <c r="P2" s="488"/>
      <c r="Q2" s="488"/>
      <c r="R2" s="488"/>
      <c r="S2" s="488"/>
      <c r="T2" s="488"/>
      <c r="U2" s="488"/>
      <c r="V2" s="488"/>
      <c r="W2" s="488"/>
      <c r="X2" s="488"/>
      <c r="Y2" s="488"/>
      <c r="Z2" s="488"/>
      <c r="AA2" s="488"/>
      <c r="AB2" s="488"/>
      <c r="AC2" s="488"/>
      <c r="AD2" s="488"/>
      <c r="AE2" s="488"/>
      <c r="AF2" s="488"/>
      <c r="AG2" s="488"/>
      <c r="AH2" s="488"/>
      <c r="AI2" s="488"/>
      <c r="AJ2" s="488"/>
      <c r="AK2" s="488"/>
      <c r="AL2" s="488"/>
      <c r="AM2" s="488"/>
      <c r="AN2" s="488"/>
      <c r="AO2" s="488"/>
      <c r="AP2" s="488"/>
      <c r="AQ2" s="488"/>
      <c r="AR2" s="488"/>
      <c r="AS2" s="488"/>
      <c r="AT2" s="488"/>
      <c r="AU2" s="488"/>
      <c r="AV2" s="488"/>
      <c r="AW2" s="488"/>
      <c r="AX2" s="488"/>
      <c r="AY2" s="488"/>
      <c r="AZ2" s="488"/>
      <c r="BA2" s="488"/>
      <c r="BB2" s="488"/>
      <c r="BC2" s="488"/>
      <c r="BD2" s="488"/>
      <c r="BE2" s="488"/>
      <c r="BF2" s="488"/>
      <c r="BG2" s="488"/>
      <c r="BH2" s="488"/>
      <c r="BI2" s="488"/>
      <c r="BJ2" s="488"/>
      <c r="BK2" s="488"/>
      <c r="BL2" s="488"/>
      <c r="BM2" s="488"/>
      <c r="BN2" s="488"/>
      <c r="BO2" s="488"/>
      <c r="BP2" s="488"/>
      <c r="BQ2" s="488"/>
      <c r="BR2" s="488"/>
      <c r="BS2" s="488"/>
      <c r="BT2" s="488"/>
      <c r="BU2" s="488"/>
      <c r="BV2" s="488"/>
      <c r="BW2" s="488"/>
      <c r="BX2" s="488"/>
      <c r="BY2" s="488"/>
      <c r="BZ2" s="488"/>
      <c r="CA2" s="488"/>
      <c r="CB2" s="488"/>
      <c r="CC2" s="488"/>
      <c r="CD2" s="488"/>
      <c r="CE2" s="488"/>
      <c r="CF2" s="488"/>
      <c r="CG2" s="488"/>
      <c r="CH2" s="488"/>
      <c r="CI2" s="488"/>
      <c r="CJ2" s="488"/>
      <c r="CK2" s="488"/>
      <c r="CL2" s="488"/>
      <c r="CM2" s="488"/>
      <c r="CN2" s="488"/>
      <c r="CO2" s="488"/>
      <c r="CP2" s="488"/>
      <c r="CQ2" s="488"/>
      <c r="CR2" s="488"/>
      <c r="CS2" s="488"/>
      <c r="CT2" s="488"/>
      <c r="CU2" s="488"/>
      <c r="CV2" s="488"/>
      <c r="CW2" s="488"/>
      <c r="CX2" s="488"/>
      <c r="CY2" s="488"/>
      <c r="CZ2" s="488"/>
      <c r="DA2" s="488"/>
      <c r="DB2" s="488"/>
      <c r="DC2" s="488"/>
      <c r="DD2" s="488"/>
      <c r="DE2" s="488"/>
      <c r="DF2" s="488"/>
      <c r="DG2" s="488"/>
      <c r="DH2" s="488"/>
      <c r="DI2" s="488"/>
      <c r="DJ2" s="488"/>
      <c r="DK2" s="488"/>
      <c r="DL2" s="488"/>
      <c r="DM2" s="488"/>
      <c r="DN2" s="488"/>
      <c r="DO2" s="488"/>
      <c r="DP2" s="488"/>
      <c r="DQ2" s="488"/>
      <c r="DR2" s="488"/>
      <c r="DS2" s="488"/>
      <c r="DT2" s="488"/>
      <c r="DU2" s="488"/>
      <c r="DV2" s="488"/>
      <c r="DW2" s="488"/>
      <c r="DX2" s="488"/>
      <c r="DY2" s="488"/>
      <c r="DZ2" s="488"/>
      <c r="EA2" s="488"/>
      <c r="EB2" s="488"/>
      <c r="EC2" s="488"/>
      <c r="ED2" s="488"/>
      <c r="EE2" s="488"/>
      <c r="EF2" s="488"/>
      <c r="EG2" s="488"/>
      <c r="EH2" s="488"/>
      <c r="EI2" s="488"/>
      <c r="EJ2" s="488"/>
      <c r="EK2" s="488"/>
      <c r="EL2" s="488"/>
      <c r="EM2" s="488"/>
      <c r="EN2" s="488"/>
      <c r="EO2" s="488"/>
      <c r="EP2" s="488"/>
      <c r="EQ2" s="488"/>
      <c r="ER2" s="488"/>
      <c r="ES2" s="488"/>
      <c r="ET2" s="488"/>
      <c r="EU2" s="488"/>
      <c r="EV2" s="488"/>
      <c r="EW2" s="488"/>
      <c r="EX2" s="488"/>
      <c r="EY2" s="488"/>
      <c r="EZ2" s="488"/>
      <c r="FA2" s="488"/>
      <c r="FB2" s="488"/>
      <c r="FC2" s="488"/>
      <c r="FD2" s="488"/>
      <c r="FE2" s="488"/>
      <c r="FF2" s="488"/>
      <c r="FG2" s="488"/>
      <c r="FH2" s="488"/>
      <c r="FI2" s="488"/>
      <c r="FJ2" s="488"/>
      <c r="FK2" s="488"/>
      <c r="FL2" s="488"/>
      <c r="FM2" s="488"/>
      <c r="FN2" s="488"/>
      <c r="FO2" s="488"/>
      <c r="FP2" s="488"/>
      <c r="FQ2" s="488"/>
      <c r="FR2" s="488"/>
      <c r="FS2" s="488"/>
      <c r="FT2" s="488"/>
      <c r="FU2" s="488"/>
      <c r="FV2" s="488"/>
      <c r="FW2" s="488"/>
      <c r="FX2" s="488"/>
      <c r="FY2" s="488"/>
      <c r="FZ2" s="488"/>
      <c r="GA2" s="488"/>
      <c r="GB2" s="488"/>
      <c r="GC2" s="488"/>
      <c r="GD2" s="488"/>
      <c r="GE2" s="488"/>
      <c r="GF2" s="488"/>
      <c r="GG2" s="488"/>
      <c r="GH2" s="488"/>
      <c r="GI2" s="488"/>
      <c r="GJ2" s="488"/>
      <c r="GK2" s="488"/>
      <c r="GL2" s="488"/>
      <c r="GM2" s="488"/>
      <c r="GN2" s="488"/>
      <c r="GO2" s="488"/>
      <c r="GP2" s="488"/>
      <c r="GQ2" s="488"/>
      <c r="GR2" s="488"/>
      <c r="GS2" s="488"/>
      <c r="GT2" s="488"/>
      <c r="GU2" s="488"/>
      <c r="GV2" s="488"/>
      <c r="GW2" s="488"/>
      <c r="GX2" s="488"/>
      <c r="GY2" s="488"/>
      <c r="GZ2" s="488"/>
      <c r="HA2" s="488"/>
      <c r="HB2" s="488"/>
      <c r="HC2" s="488"/>
      <c r="HD2" s="488"/>
      <c r="HE2" s="488"/>
      <c r="HF2" s="488"/>
      <c r="HG2" s="488"/>
      <c r="HH2" s="488"/>
      <c r="HI2" s="488"/>
      <c r="HJ2" s="488"/>
      <c r="HK2" s="488"/>
      <c r="HL2" s="488"/>
      <c r="HM2" s="488"/>
      <c r="HN2" s="488"/>
      <c r="HO2" s="488"/>
      <c r="HP2" s="488"/>
      <c r="HQ2" s="488"/>
      <c r="HR2" s="488"/>
      <c r="HS2" s="488"/>
      <c r="HT2" s="488"/>
      <c r="HU2" s="488"/>
      <c r="HV2" s="488"/>
      <c r="HW2" s="488"/>
      <c r="HX2" s="488"/>
      <c r="HY2" s="488"/>
      <c r="HZ2" s="488"/>
      <c r="IA2" s="488"/>
      <c r="IB2" s="488"/>
      <c r="IC2" s="488"/>
      <c r="ID2" s="488"/>
      <c r="IE2" s="488"/>
      <c r="IF2" s="488"/>
      <c r="IG2" s="488"/>
      <c r="IH2" s="488"/>
      <c r="II2" s="488"/>
      <c r="IJ2" s="488"/>
      <c r="IK2" s="488"/>
      <c r="IL2" s="488"/>
      <c r="IM2" s="488"/>
      <c r="IN2" s="488"/>
    </row>
    <row r="3" spans="1:248" s="489" customFormat="1" ht="18" customHeight="1" x14ac:dyDescent="0.3">
      <c r="A3" s="483"/>
      <c r="B3" s="867"/>
      <c r="C3" s="867"/>
      <c r="D3" s="867"/>
      <c r="E3" s="484"/>
      <c r="F3" s="485"/>
      <c r="G3" s="485"/>
      <c r="H3" s="486"/>
      <c r="I3" s="487"/>
      <c r="J3" s="487"/>
      <c r="K3" s="488"/>
      <c r="L3" s="488"/>
      <c r="M3" s="488"/>
      <c r="N3" s="488"/>
      <c r="O3" s="488"/>
      <c r="P3" s="488"/>
      <c r="Q3" s="488"/>
      <c r="R3" s="488"/>
      <c r="S3" s="488"/>
      <c r="T3" s="488"/>
      <c r="U3" s="488"/>
      <c r="V3" s="488"/>
      <c r="W3" s="488"/>
      <c r="X3" s="488"/>
      <c r="Y3" s="488"/>
      <c r="Z3" s="488"/>
      <c r="AA3" s="488"/>
      <c r="AB3" s="488"/>
      <c r="AC3" s="488"/>
      <c r="AD3" s="488"/>
      <c r="AE3" s="488"/>
      <c r="AF3" s="488"/>
      <c r="AG3" s="488"/>
      <c r="AH3" s="488"/>
      <c r="AI3" s="488"/>
      <c r="AJ3" s="488"/>
      <c r="AK3" s="488"/>
      <c r="AL3" s="488"/>
      <c r="AM3" s="488"/>
      <c r="AN3" s="488"/>
      <c r="AO3" s="488"/>
      <c r="AP3" s="488"/>
      <c r="AQ3" s="488"/>
      <c r="AR3" s="488"/>
      <c r="AS3" s="488"/>
      <c r="AT3" s="488"/>
      <c r="AU3" s="488"/>
      <c r="AV3" s="488"/>
      <c r="AW3" s="488"/>
      <c r="AX3" s="488"/>
      <c r="AY3" s="488"/>
      <c r="AZ3" s="488"/>
      <c r="BA3" s="488"/>
      <c r="BB3" s="488"/>
      <c r="BC3" s="488"/>
      <c r="BD3" s="488"/>
      <c r="BE3" s="488"/>
      <c r="BF3" s="488"/>
      <c r="BG3" s="488"/>
      <c r="BH3" s="488"/>
      <c r="BI3" s="488"/>
      <c r="BJ3" s="488"/>
      <c r="BK3" s="488"/>
      <c r="BL3" s="488"/>
      <c r="BM3" s="488"/>
      <c r="BN3" s="488"/>
      <c r="BO3" s="488"/>
      <c r="BP3" s="488"/>
      <c r="BQ3" s="488"/>
      <c r="BR3" s="488"/>
      <c r="BS3" s="488"/>
      <c r="BT3" s="488"/>
      <c r="BU3" s="488"/>
      <c r="BV3" s="488"/>
      <c r="BW3" s="488"/>
      <c r="BX3" s="488"/>
      <c r="BY3" s="488"/>
      <c r="BZ3" s="488"/>
      <c r="CA3" s="488"/>
      <c r="CB3" s="488"/>
      <c r="CC3" s="488"/>
      <c r="CD3" s="488"/>
      <c r="CE3" s="488"/>
      <c r="CF3" s="488"/>
      <c r="CG3" s="488"/>
      <c r="CH3" s="488"/>
      <c r="CI3" s="488"/>
      <c r="CJ3" s="488"/>
      <c r="CK3" s="488"/>
      <c r="CL3" s="488"/>
      <c r="CM3" s="488"/>
      <c r="CN3" s="488"/>
      <c r="CO3" s="488"/>
      <c r="CP3" s="488"/>
      <c r="CQ3" s="488"/>
      <c r="CR3" s="488"/>
      <c r="CS3" s="488"/>
      <c r="CT3" s="488"/>
      <c r="CU3" s="488"/>
      <c r="CV3" s="488"/>
      <c r="CW3" s="488"/>
      <c r="CX3" s="488"/>
      <c r="CY3" s="488"/>
      <c r="CZ3" s="488"/>
      <c r="DA3" s="488"/>
      <c r="DB3" s="488"/>
      <c r="DC3" s="488"/>
      <c r="DD3" s="488"/>
      <c r="DE3" s="488"/>
      <c r="DF3" s="488"/>
      <c r="DG3" s="488"/>
      <c r="DH3" s="488"/>
      <c r="DI3" s="488"/>
      <c r="DJ3" s="488"/>
      <c r="DK3" s="488"/>
      <c r="DL3" s="488"/>
      <c r="DM3" s="488"/>
      <c r="DN3" s="488"/>
      <c r="DO3" s="488"/>
      <c r="DP3" s="488"/>
      <c r="DQ3" s="488"/>
      <c r="DR3" s="488"/>
      <c r="DS3" s="488"/>
      <c r="DT3" s="488"/>
      <c r="DU3" s="488"/>
      <c r="DV3" s="488"/>
      <c r="DW3" s="488"/>
      <c r="DX3" s="488"/>
      <c r="DY3" s="488"/>
      <c r="DZ3" s="488"/>
      <c r="EA3" s="488"/>
      <c r="EB3" s="488"/>
      <c r="EC3" s="488"/>
      <c r="ED3" s="488"/>
      <c r="EE3" s="488"/>
      <c r="EF3" s="488"/>
      <c r="EG3" s="488"/>
      <c r="EH3" s="488"/>
      <c r="EI3" s="488"/>
      <c r="EJ3" s="488"/>
      <c r="EK3" s="488"/>
      <c r="EL3" s="488"/>
      <c r="EM3" s="488"/>
      <c r="EN3" s="488"/>
      <c r="EO3" s="488"/>
      <c r="EP3" s="488"/>
      <c r="EQ3" s="488"/>
      <c r="ER3" s="488"/>
      <c r="ES3" s="488"/>
      <c r="ET3" s="488"/>
      <c r="EU3" s="488"/>
      <c r="EV3" s="488"/>
      <c r="EW3" s="488"/>
      <c r="EX3" s="488"/>
      <c r="EY3" s="488"/>
      <c r="EZ3" s="488"/>
      <c r="FA3" s="488"/>
      <c r="FB3" s="488"/>
      <c r="FC3" s="488"/>
      <c r="FD3" s="488"/>
      <c r="FE3" s="488"/>
      <c r="FF3" s="488"/>
      <c r="FG3" s="488"/>
      <c r="FH3" s="488"/>
      <c r="FI3" s="488"/>
      <c r="FJ3" s="488"/>
      <c r="FK3" s="488"/>
      <c r="FL3" s="488"/>
      <c r="FM3" s="488"/>
      <c r="FN3" s="488"/>
      <c r="FO3" s="488"/>
      <c r="FP3" s="488"/>
      <c r="FQ3" s="488"/>
      <c r="FR3" s="488"/>
      <c r="FS3" s="488"/>
      <c r="FT3" s="488"/>
      <c r="FU3" s="488"/>
      <c r="FV3" s="488"/>
      <c r="FW3" s="488"/>
      <c r="FX3" s="488"/>
      <c r="FY3" s="488"/>
      <c r="FZ3" s="488"/>
      <c r="GA3" s="488"/>
      <c r="GB3" s="488"/>
      <c r="GC3" s="488"/>
      <c r="GD3" s="488"/>
      <c r="GE3" s="488"/>
      <c r="GF3" s="488"/>
      <c r="GG3" s="488"/>
      <c r="GH3" s="488"/>
      <c r="GI3" s="488"/>
      <c r="GJ3" s="488"/>
      <c r="GK3" s="488"/>
      <c r="GL3" s="488"/>
      <c r="GM3" s="488"/>
      <c r="GN3" s="488"/>
      <c r="GO3" s="488"/>
      <c r="GP3" s="488"/>
      <c r="GQ3" s="488"/>
      <c r="GR3" s="488"/>
      <c r="GS3" s="488"/>
      <c r="GT3" s="488"/>
      <c r="GU3" s="488"/>
      <c r="GV3" s="488"/>
      <c r="GW3" s="488"/>
      <c r="GX3" s="488"/>
      <c r="GY3" s="488"/>
      <c r="GZ3" s="488"/>
      <c r="HA3" s="488"/>
      <c r="HB3" s="488"/>
      <c r="HC3" s="488"/>
      <c r="HD3" s="488"/>
      <c r="HE3" s="488"/>
      <c r="HF3" s="488"/>
      <c r="HG3" s="488"/>
      <c r="HH3" s="488"/>
      <c r="HI3" s="488"/>
      <c r="HJ3" s="488"/>
      <c r="HK3" s="488"/>
      <c r="HL3" s="488"/>
      <c r="HM3" s="488"/>
      <c r="HN3" s="488"/>
      <c r="HO3" s="488"/>
      <c r="HP3" s="488"/>
      <c r="HQ3" s="488"/>
      <c r="HR3" s="488"/>
      <c r="HS3" s="488"/>
      <c r="HT3" s="488"/>
      <c r="HU3" s="488"/>
      <c r="HV3" s="488"/>
      <c r="HW3" s="488"/>
      <c r="HX3" s="488"/>
      <c r="HY3" s="488"/>
      <c r="HZ3" s="488"/>
      <c r="IA3" s="488"/>
      <c r="IB3" s="488"/>
      <c r="IC3" s="488"/>
      <c r="ID3" s="488"/>
      <c r="IE3" s="488"/>
      <c r="IF3" s="488"/>
      <c r="IG3" s="488"/>
      <c r="IH3" s="488"/>
      <c r="II3" s="488"/>
      <c r="IJ3" s="488"/>
      <c r="IK3" s="488"/>
      <c r="IL3" s="488"/>
      <c r="IM3" s="488"/>
      <c r="IN3" s="488"/>
    </row>
    <row r="4" spans="1:248" s="489" customFormat="1" ht="24.75" customHeight="1" x14ac:dyDescent="0.35">
      <c r="A4" s="490"/>
      <c r="B4" s="1923" t="s">
        <v>107</v>
      </c>
      <c r="C4" s="1923"/>
      <c r="D4" s="1923"/>
      <c r="E4" s="1923"/>
      <c r="F4" s="1923"/>
      <c r="G4" s="1923"/>
      <c r="H4" s="1923"/>
      <c r="I4" s="1923"/>
      <c r="J4" s="1923"/>
      <c r="K4" s="1923"/>
      <c r="L4" s="1923"/>
    </row>
    <row r="5" spans="1:248" s="489" customFormat="1" ht="24.75" customHeight="1" x14ac:dyDescent="0.3">
      <c r="A5" s="490"/>
      <c r="B5" s="1924" t="s">
        <v>596</v>
      </c>
      <c r="C5" s="1924"/>
      <c r="D5" s="1924"/>
      <c r="E5" s="1924"/>
      <c r="F5" s="1924"/>
      <c r="G5" s="1924"/>
      <c r="H5" s="1924"/>
      <c r="I5" s="1924"/>
      <c r="J5" s="1924"/>
      <c r="K5" s="1924"/>
      <c r="L5" s="1924"/>
    </row>
    <row r="6" spans="1:248" ht="18" customHeight="1" x14ac:dyDescent="0.3">
      <c r="A6" s="252"/>
      <c r="I6" s="496"/>
      <c r="J6" s="496"/>
      <c r="L6" s="496" t="s">
        <v>0</v>
      </c>
    </row>
    <row r="7" spans="1:248" s="500" customFormat="1" ht="18" customHeight="1" thickBot="1" x14ac:dyDescent="0.35">
      <c r="A7" s="497"/>
      <c r="B7" s="498" t="s">
        <v>1</v>
      </c>
      <c r="C7" s="499" t="s">
        <v>3</v>
      </c>
      <c r="D7" s="499" t="s">
        <v>2</v>
      </c>
      <c r="E7" s="499" t="s">
        <v>4</v>
      </c>
      <c r="F7" s="499" t="s">
        <v>5</v>
      </c>
      <c r="G7" s="499" t="s">
        <v>15</v>
      </c>
      <c r="H7" s="499" t="s">
        <v>16</v>
      </c>
      <c r="I7" s="499" t="s">
        <v>17</v>
      </c>
      <c r="J7" s="499" t="s">
        <v>32</v>
      </c>
      <c r="K7" s="497" t="s">
        <v>28</v>
      </c>
      <c r="L7" s="497" t="s">
        <v>23</v>
      </c>
      <c r="M7" s="497"/>
      <c r="N7" s="497"/>
      <c r="O7" s="497"/>
      <c r="P7" s="497"/>
      <c r="Q7" s="497"/>
      <c r="R7" s="497"/>
      <c r="S7" s="497"/>
      <c r="T7" s="497"/>
      <c r="U7" s="497"/>
      <c r="V7" s="497"/>
      <c r="W7" s="497"/>
      <c r="X7" s="497"/>
      <c r="Y7" s="497"/>
      <c r="Z7" s="497"/>
      <c r="AA7" s="497"/>
      <c r="AB7" s="497"/>
      <c r="AC7" s="497"/>
      <c r="AD7" s="497"/>
      <c r="AE7" s="497"/>
      <c r="AF7" s="497"/>
      <c r="AG7" s="497"/>
      <c r="AH7" s="497"/>
      <c r="AI7" s="497"/>
      <c r="AJ7" s="497"/>
      <c r="AK7" s="497"/>
      <c r="AL7" s="497"/>
      <c r="AM7" s="497"/>
      <c r="AN7" s="497"/>
      <c r="AO7" s="497"/>
      <c r="AP7" s="497"/>
      <c r="AQ7" s="497"/>
      <c r="AR7" s="497"/>
      <c r="AS7" s="497"/>
      <c r="AT7" s="497"/>
      <c r="AU7" s="497"/>
      <c r="AV7" s="497"/>
      <c r="AW7" s="497"/>
      <c r="AX7" s="497"/>
      <c r="AY7" s="497"/>
      <c r="AZ7" s="497"/>
      <c r="BA7" s="497"/>
      <c r="BB7" s="497"/>
      <c r="BC7" s="497"/>
      <c r="BD7" s="497"/>
      <c r="BE7" s="497"/>
      <c r="BF7" s="497"/>
      <c r="BG7" s="497"/>
      <c r="BH7" s="497"/>
      <c r="BI7" s="497"/>
      <c r="BJ7" s="497"/>
      <c r="BK7" s="497"/>
      <c r="BL7" s="497"/>
      <c r="BM7" s="497"/>
      <c r="BN7" s="497"/>
      <c r="BO7" s="497"/>
      <c r="BP7" s="497"/>
      <c r="BQ7" s="497"/>
      <c r="BR7" s="497"/>
      <c r="BS7" s="497"/>
      <c r="BT7" s="497"/>
      <c r="BU7" s="497"/>
      <c r="BV7" s="497"/>
      <c r="BW7" s="497"/>
      <c r="BX7" s="497"/>
      <c r="BY7" s="497"/>
      <c r="BZ7" s="497"/>
      <c r="CA7" s="497"/>
      <c r="CB7" s="497"/>
      <c r="CC7" s="497"/>
      <c r="CD7" s="497"/>
      <c r="CE7" s="497"/>
      <c r="CF7" s="497"/>
      <c r="CG7" s="497"/>
      <c r="CH7" s="497"/>
      <c r="CI7" s="497"/>
      <c r="CJ7" s="497"/>
      <c r="CK7" s="497"/>
      <c r="CL7" s="497"/>
      <c r="CM7" s="497"/>
      <c r="CN7" s="497"/>
      <c r="CO7" s="497"/>
      <c r="CP7" s="497"/>
      <c r="CQ7" s="497"/>
      <c r="CR7" s="497"/>
      <c r="CS7" s="497"/>
      <c r="CT7" s="497"/>
      <c r="CU7" s="497"/>
      <c r="CV7" s="497"/>
      <c r="CW7" s="497"/>
      <c r="CX7" s="497"/>
      <c r="CY7" s="497"/>
      <c r="CZ7" s="497"/>
      <c r="DA7" s="497"/>
      <c r="DB7" s="497"/>
      <c r="DC7" s="497"/>
      <c r="DD7" s="497"/>
      <c r="DE7" s="497"/>
      <c r="DF7" s="497"/>
      <c r="DG7" s="497"/>
      <c r="DH7" s="497"/>
      <c r="DI7" s="497"/>
      <c r="DJ7" s="497"/>
      <c r="DK7" s="497"/>
      <c r="DL7" s="497"/>
      <c r="DM7" s="497"/>
      <c r="DN7" s="497"/>
      <c r="DO7" s="497"/>
      <c r="DP7" s="497"/>
      <c r="DQ7" s="497"/>
      <c r="DR7" s="497"/>
      <c r="DS7" s="497"/>
      <c r="DT7" s="497"/>
      <c r="DU7" s="497"/>
      <c r="DV7" s="497"/>
      <c r="DW7" s="497"/>
      <c r="DX7" s="497"/>
      <c r="DY7" s="497"/>
      <c r="DZ7" s="497"/>
      <c r="EA7" s="497"/>
      <c r="EB7" s="497"/>
      <c r="EC7" s="497"/>
      <c r="ED7" s="497"/>
      <c r="EE7" s="497"/>
      <c r="EF7" s="497"/>
      <c r="EG7" s="497"/>
      <c r="EH7" s="497"/>
      <c r="EI7" s="497"/>
      <c r="EJ7" s="497"/>
      <c r="EK7" s="497"/>
      <c r="EL7" s="497"/>
      <c r="EM7" s="497"/>
      <c r="EN7" s="497"/>
      <c r="EO7" s="497"/>
      <c r="EP7" s="497"/>
      <c r="EQ7" s="497"/>
      <c r="ER7" s="497"/>
      <c r="ES7" s="497"/>
      <c r="ET7" s="497"/>
      <c r="EU7" s="497"/>
      <c r="EV7" s="497"/>
      <c r="EW7" s="497"/>
      <c r="EX7" s="497"/>
      <c r="EY7" s="497"/>
      <c r="EZ7" s="497"/>
      <c r="FA7" s="497"/>
      <c r="FB7" s="497"/>
      <c r="FC7" s="497"/>
      <c r="FD7" s="497"/>
      <c r="FE7" s="497"/>
      <c r="FF7" s="497"/>
      <c r="FG7" s="497"/>
      <c r="FH7" s="497"/>
      <c r="FI7" s="497"/>
      <c r="FJ7" s="497"/>
      <c r="FK7" s="497"/>
      <c r="FL7" s="497"/>
      <c r="FM7" s="497"/>
      <c r="FN7" s="497"/>
      <c r="FO7" s="497"/>
      <c r="FP7" s="497"/>
      <c r="FQ7" s="497"/>
      <c r="FR7" s="497"/>
      <c r="FS7" s="497"/>
      <c r="FT7" s="497"/>
      <c r="FU7" s="497"/>
      <c r="FV7" s="497"/>
      <c r="FW7" s="497"/>
      <c r="FX7" s="497"/>
      <c r="FY7" s="497"/>
      <c r="FZ7" s="497"/>
      <c r="GA7" s="497"/>
      <c r="GB7" s="497"/>
      <c r="GC7" s="497"/>
      <c r="GD7" s="497"/>
      <c r="GE7" s="497"/>
      <c r="GF7" s="497"/>
      <c r="GG7" s="497"/>
      <c r="GH7" s="497"/>
      <c r="GI7" s="497"/>
      <c r="GJ7" s="497"/>
      <c r="GK7" s="497"/>
      <c r="GL7" s="497"/>
      <c r="GM7" s="497"/>
      <c r="GN7" s="497"/>
      <c r="GO7" s="497"/>
      <c r="GP7" s="497"/>
      <c r="GQ7" s="497"/>
      <c r="GR7" s="497"/>
      <c r="GS7" s="497"/>
      <c r="GT7" s="497"/>
      <c r="GU7" s="497"/>
      <c r="GV7" s="497"/>
      <c r="GW7" s="497"/>
      <c r="GX7" s="497"/>
      <c r="GY7" s="497"/>
      <c r="GZ7" s="497"/>
      <c r="HA7" s="497"/>
      <c r="HB7" s="497"/>
      <c r="HC7" s="497"/>
      <c r="HD7" s="497"/>
      <c r="HE7" s="497"/>
      <c r="HF7" s="497"/>
      <c r="HG7" s="497"/>
      <c r="HH7" s="497"/>
      <c r="HI7" s="497"/>
      <c r="HJ7" s="497"/>
      <c r="HK7" s="497"/>
      <c r="HL7" s="497"/>
      <c r="HM7" s="497"/>
      <c r="HN7" s="497"/>
      <c r="HO7" s="497"/>
      <c r="HP7" s="497"/>
      <c r="HQ7" s="497"/>
      <c r="HR7" s="497"/>
      <c r="HS7" s="497"/>
      <c r="HT7" s="497"/>
      <c r="HU7" s="497"/>
      <c r="HV7" s="497"/>
      <c r="HW7" s="497"/>
      <c r="HX7" s="497"/>
      <c r="HY7" s="497"/>
      <c r="HZ7" s="497"/>
      <c r="IA7" s="497"/>
      <c r="IB7" s="497"/>
      <c r="IC7" s="497"/>
      <c r="ID7" s="497"/>
      <c r="IE7" s="497"/>
      <c r="IF7" s="497"/>
      <c r="IG7" s="497"/>
      <c r="IH7" s="497"/>
      <c r="II7" s="497"/>
      <c r="IJ7" s="497"/>
      <c r="IK7" s="497"/>
      <c r="IL7" s="497"/>
      <c r="IM7" s="497"/>
      <c r="IN7" s="497"/>
    </row>
    <row r="8" spans="1:248" ht="30" customHeight="1" x14ac:dyDescent="0.3">
      <c r="B8" s="1936" t="s">
        <v>18</v>
      </c>
      <c r="C8" s="1938" t="s">
        <v>19</v>
      </c>
      <c r="D8" s="1940" t="s">
        <v>6</v>
      </c>
      <c r="E8" s="1942" t="s">
        <v>597</v>
      </c>
      <c r="F8" s="1928" t="s">
        <v>598</v>
      </c>
      <c r="G8" s="1928" t="s">
        <v>500</v>
      </c>
      <c r="H8" s="1930" t="s">
        <v>711</v>
      </c>
      <c r="I8" s="1926" t="s">
        <v>654</v>
      </c>
      <c r="J8" s="1946" t="s">
        <v>806</v>
      </c>
      <c r="K8" s="1944" t="s">
        <v>95</v>
      </c>
      <c r="L8" s="1921" t="s">
        <v>856</v>
      </c>
    </row>
    <row r="9" spans="1:248" ht="60.75" customHeight="1" thickBot="1" x14ac:dyDescent="0.35">
      <c r="B9" s="1937"/>
      <c r="C9" s="1939"/>
      <c r="D9" s="1941"/>
      <c r="E9" s="1943"/>
      <c r="F9" s="1929"/>
      <c r="G9" s="1929"/>
      <c r="H9" s="1931"/>
      <c r="I9" s="1927"/>
      <c r="J9" s="1947"/>
      <c r="K9" s="1945"/>
      <c r="L9" s="1922"/>
    </row>
    <row r="10" spans="1:248" ht="20.100000000000001" customHeight="1" x14ac:dyDescent="0.3">
      <c r="B10" s="1495"/>
      <c r="C10" s="1496" t="s">
        <v>842</v>
      </c>
      <c r="D10" s="1497"/>
      <c r="E10" s="1501"/>
      <c r="F10" s="1502"/>
      <c r="G10" s="1502"/>
      <c r="H10" s="1498"/>
      <c r="I10" s="1499"/>
      <c r="J10" s="1503"/>
      <c r="K10" s="1504"/>
      <c r="L10" s="1500"/>
    </row>
    <row r="11" spans="1:248" s="251" customFormat="1" ht="22.5" customHeight="1" x14ac:dyDescent="0.3">
      <c r="A11" s="243">
        <v>1</v>
      </c>
      <c r="B11" s="244">
        <v>1</v>
      </c>
      <c r="C11" s="245" t="s">
        <v>248</v>
      </c>
      <c r="D11" s="246"/>
      <c r="E11" s="247" t="s">
        <v>23</v>
      </c>
      <c r="F11" s="248">
        <v>2090</v>
      </c>
      <c r="G11" s="249">
        <v>600</v>
      </c>
      <c r="H11" s="250">
        <v>9365</v>
      </c>
      <c r="I11" s="1085"/>
      <c r="J11" s="1431"/>
      <c r="K11" s="1494"/>
      <c r="L11" s="1091"/>
    </row>
    <row r="12" spans="1:248" ht="61.5" customHeight="1" x14ac:dyDescent="0.3">
      <c r="A12" s="243">
        <v>2</v>
      </c>
      <c r="B12" s="244"/>
      <c r="C12" s="253">
        <v>1</v>
      </c>
      <c r="D12" s="584" t="s">
        <v>918</v>
      </c>
      <c r="E12" s="247"/>
      <c r="F12" s="255"/>
      <c r="G12" s="256"/>
      <c r="H12" s="257"/>
      <c r="I12" s="1086"/>
      <c r="J12" s="268">
        <v>971</v>
      </c>
      <c r="K12" s="1315">
        <f>120+203</f>
        <v>323</v>
      </c>
      <c r="L12" s="1094">
        <f>SUM(J12:K12)</f>
        <v>1294</v>
      </c>
    </row>
    <row r="13" spans="1:248" ht="18" customHeight="1" x14ac:dyDescent="0.3">
      <c r="A13" s="243">
        <v>3</v>
      </c>
      <c r="B13" s="244"/>
      <c r="C13" s="259">
        <v>3</v>
      </c>
      <c r="D13" s="584" t="s">
        <v>658</v>
      </c>
      <c r="E13" s="247"/>
      <c r="F13" s="255"/>
      <c r="G13" s="256"/>
      <c r="H13" s="257"/>
      <c r="I13" s="1086"/>
      <c r="J13" s="268">
        <v>970</v>
      </c>
      <c r="K13" s="1315">
        <v>27</v>
      </c>
      <c r="L13" s="1094">
        <f t="shared" ref="L13:L16" si="0">SUM(J13:K13)</f>
        <v>997</v>
      </c>
    </row>
    <row r="14" spans="1:248" ht="18" customHeight="1" x14ac:dyDescent="0.3">
      <c r="A14" s="243">
        <v>4</v>
      </c>
      <c r="B14" s="244"/>
      <c r="C14" s="259">
        <v>4</v>
      </c>
      <c r="D14" s="584" t="s">
        <v>726</v>
      </c>
      <c r="E14" s="247"/>
      <c r="F14" s="255"/>
      <c r="G14" s="256"/>
      <c r="H14" s="257"/>
      <c r="I14" s="1086"/>
      <c r="J14" s="268">
        <v>600</v>
      </c>
      <c r="K14" s="1315"/>
      <c r="L14" s="1094">
        <f t="shared" si="0"/>
        <v>600</v>
      </c>
    </row>
    <row r="15" spans="1:248" ht="18" customHeight="1" x14ac:dyDescent="0.3">
      <c r="A15" s="243">
        <v>5</v>
      </c>
      <c r="B15" s="244"/>
      <c r="C15" s="259">
        <v>5</v>
      </c>
      <c r="D15" s="584" t="s">
        <v>919</v>
      </c>
      <c r="E15" s="247"/>
      <c r="F15" s="255"/>
      <c r="G15" s="256"/>
      <c r="H15" s="257"/>
      <c r="I15" s="1086"/>
      <c r="J15" s="268">
        <v>500</v>
      </c>
      <c r="K15" s="1315">
        <v>650</v>
      </c>
      <c r="L15" s="1094">
        <f t="shared" si="0"/>
        <v>1150</v>
      </c>
    </row>
    <row r="16" spans="1:248" ht="18" customHeight="1" x14ac:dyDescent="0.3">
      <c r="A16" s="243">
        <v>6</v>
      </c>
      <c r="B16" s="244"/>
      <c r="C16" s="259">
        <v>7</v>
      </c>
      <c r="D16" s="910" t="s">
        <v>708</v>
      </c>
      <c r="E16" s="247"/>
      <c r="F16" s="255"/>
      <c r="G16" s="256"/>
      <c r="H16" s="257"/>
      <c r="I16" s="1086"/>
      <c r="J16" s="268">
        <v>120</v>
      </c>
      <c r="K16" s="1315"/>
      <c r="L16" s="1094">
        <f t="shared" si="0"/>
        <v>120</v>
      </c>
    </row>
    <row r="17" spans="1:12" ht="18" customHeight="1" x14ac:dyDescent="0.3">
      <c r="A17" s="243">
        <v>7</v>
      </c>
      <c r="B17" s="244"/>
      <c r="C17" s="260" t="s">
        <v>276</v>
      </c>
      <c r="D17" s="261"/>
      <c r="E17" s="247"/>
      <c r="F17" s="248">
        <v>314</v>
      </c>
      <c r="G17" s="249">
        <v>300</v>
      </c>
      <c r="H17" s="250">
        <v>917</v>
      </c>
      <c r="I17" s="1086"/>
      <c r="J17" s="268"/>
      <c r="K17" s="1089"/>
      <c r="L17" s="1092"/>
    </row>
    <row r="18" spans="1:12" ht="18" customHeight="1" x14ac:dyDescent="0.3">
      <c r="A18" s="243">
        <v>8</v>
      </c>
      <c r="B18" s="244"/>
      <c r="C18" s="259">
        <v>2</v>
      </c>
      <c r="D18" s="584" t="s">
        <v>478</v>
      </c>
      <c r="E18" s="247"/>
      <c r="F18" s="255"/>
      <c r="G18" s="256"/>
      <c r="H18" s="257"/>
      <c r="I18" s="1086"/>
      <c r="J18" s="268"/>
      <c r="K18" s="1089"/>
      <c r="L18" s="1092"/>
    </row>
    <row r="19" spans="1:12" ht="18" customHeight="1" x14ac:dyDescent="0.3">
      <c r="A19" s="243">
        <v>9</v>
      </c>
      <c r="B19" s="244"/>
      <c r="C19" s="259">
        <v>6</v>
      </c>
      <c r="D19" s="584" t="s">
        <v>659</v>
      </c>
      <c r="E19" s="247"/>
      <c r="F19" s="255"/>
      <c r="G19" s="256"/>
      <c r="H19" s="257"/>
      <c r="I19" s="1086"/>
      <c r="J19" s="268">
        <v>250</v>
      </c>
      <c r="K19" s="1315"/>
      <c r="L19" s="1094">
        <f t="shared" ref="L19:L22" si="1">SUM(J19:K19)</f>
        <v>250</v>
      </c>
    </row>
    <row r="20" spans="1:12" s="251" customFormat="1" ht="22.5" customHeight="1" x14ac:dyDescent="0.3">
      <c r="A20" s="243">
        <v>10</v>
      </c>
      <c r="B20" s="244">
        <v>2</v>
      </c>
      <c r="C20" s="262" t="s">
        <v>247</v>
      </c>
      <c r="D20" s="246"/>
      <c r="E20" s="247" t="s">
        <v>23</v>
      </c>
      <c r="F20" s="248">
        <v>2754</v>
      </c>
      <c r="G20" s="249">
        <v>1100</v>
      </c>
      <c r="H20" s="250">
        <v>5020</v>
      </c>
      <c r="I20" s="1085"/>
      <c r="J20" s="1431"/>
      <c r="K20" s="1090"/>
      <c r="L20" s="1093"/>
    </row>
    <row r="21" spans="1:12" ht="108.75" customHeight="1" x14ac:dyDescent="0.3">
      <c r="A21" s="243">
        <v>11</v>
      </c>
      <c r="B21" s="244"/>
      <c r="C21" s="253">
        <v>1</v>
      </c>
      <c r="D21" s="584" t="s">
        <v>660</v>
      </c>
      <c r="E21" s="247"/>
      <c r="F21" s="255"/>
      <c r="G21" s="256"/>
      <c r="H21" s="257"/>
      <c r="I21" s="1086"/>
      <c r="J21" s="1434">
        <v>5000</v>
      </c>
      <c r="K21" s="1319"/>
      <c r="L21" s="1318">
        <f t="shared" si="1"/>
        <v>5000</v>
      </c>
    </row>
    <row r="22" spans="1:12" ht="18" customHeight="1" x14ac:dyDescent="0.3">
      <c r="A22" s="243">
        <v>12</v>
      </c>
      <c r="B22" s="244"/>
      <c r="C22" s="253">
        <v>3</v>
      </c>
      <c r="D22" s="584" t="s">
        <v>706</v>
      </c>
      <c r="E22" s="247"/>
      <c r="F22" s="255"/>
      <c r="G22" s="256"/>
      <c r="H22" s="257"/>
      <c r="I22" s="1086"/>
      <c r="J22" s="268">
        <v>325</v>
      </c>
      <c r="K22" s="1319"/>
      <c r="L22" s="1318">
        <f t="shared" si="1"/>
        <v>325</v>
      </c>
    </row>
    <row r="23" spans="1:12" ht="18" customHeight="1" x14ac:dyDescent="0.3">
      <c r="A23" s="243">
        <v>13</v>
      </c>
      <c r="B23" s="244"/>
      <c r="C23" s="260" t="s">
        <v>277</v>
      </c>
      <c r="D23" s="261"/>
      <c r="E23" s="247"/>
      <c r="F23" s="248">
        <v>764</v>
      </c>
      <c r="G23" s="249">
        <v>600</v>
      </c>
      <c r="H23" s="250">
        <v>4838</v>
      </c>
      <c r="I23" s="1086"/>
      <c r="J23" s="268"/>
      <c r="K23" s="1317"/>
      <c r="L23" s="1092"/>
    </row>
    <row r="24" spans="1:12" ht="111" customHeight="1" x14ac:dyDescent="0.3">
      <c r="A24" s="243">
        <v>14</v>
      </c>
      <c r="B24" s="244"/>
      <c r="C24" s="253">
        <v>2</v>
      </c>
      <c r="D24" s="584" t="s">
        <v>660</v>
      </c>
      <c r="E24" s="247"/>
      <c r="F24" s="255"/>
      <c r="G24" s="256"/>
      <c r="H24" s="257"/>
      <c r="I24" s="1086"/>
      <c r="J24" s="1434">
        <v>2352</v>
      </c>
      <c r="K24" s="1319"/>
      <c r="L24" s="1318">
        <f>SUM(J24:K24)</f>
        <v>2352</v>
      </c>
    </row>
    <row r="25" spans="1:12" ht="18" customHeight="1" x14ac:dyDescent="0.3">
      <c r="A25" s="243">
        <v>15</v>
      </c>
      <c r="B25" s="244"/>
      <c r="C25" s="253">
        <v>4</v>
      </c>
      <c r="D25" s="584" t="s">
        <v>733</v>
      </c>
      <c r="E25" s="247"/>
      <c r="F25" s="255"/>
      <c r="G25" s="256"/>
      <c r="H25" s="257"/>
      <c r="I25" s="1086"/>
      <c r="J25" s="268">
        <v>400</v>
      </c>
      <c r="K25" s="1319"/>
      <c r="L25" s="1318">
        <f>SUM(J25:K25)</f>
        <v>400</v>
      </c>
    </row>
    <row r="26" spans="1:12" s="251" customFormat="1" ht="22.5" customHeight="1" x14ac:dyDescent="0.3">
      <c r="A26" s="243">
        <v>16</v>
      </c>
      <c r="B26" s="244">
        <v>3</v>
      </c>
      <c r="C26" s="262" t="s">
        <v>216</v>
      </c>
      <c r="D26" s="246"/>
      <c r="E26" s="247" t="s">
        <v>23</v>
      </c>
      <c r="F26" s="248">
        <v>2251</v>
      </c>
      <c r="G26" s="249">
        <v>1000</v>
      </c>
      <c r="H26" s="250">
        <v>2695</v>
      </c>
      <c r="I26" s="1085"/>
      <c r="J26" s="1431"/>
      <c r="K26" s="1090"/>
      <c r="L26" s="1093"/>
    </row>
    <row r="27" spans="1:12" ht="47.25" customHeight="1" x14ac:dyDescent="0.3">
      <c r="A27" s="243">
        <v>17</v>
      </c>
      <c r="B27" s="244"/>
      <c r="C27" s="253">
        <v>1</v>
      </c>
      <c r="D27" s="584" t="s">
        <v>922</v>
      </c>
      <c r="E27" s="247"/>
      <c r="F27" s="255"/>
      <c r="G27" s="256"/>
      <c r="H27" s="257"/>
      <c r="I27" s="1086"/>
      <c r="J27" s="1434">
        <v>2100</v>
      </c>
      <c r="K27" s="1319">
        <v>886</v>
      </c>
      <c r="L27" s="1318">
        <f>SUM(J27:K27)</f>
        <v>2986</v>
      </c>
    </row>
    <row r="28" spans="1:12" ht="18" customHeight="1" x14ac:dyDescent="0.3">
      <c r="A28" s="243">
        <v>18</v>
      </c>
      <c r="B28" s="244"/>
      <c r="C28" s="259">
        <v>3</v>
      </c>
      <c r="D28" s="584" t="s">
        <v>703</v>
      </c>
      <c r="E28" s="247"/>
      <c r="F28" s="255"/>
      <c r="G28" s="256"/>
      <c r="H28" s="257"/>
      <c r="I28" s="1086"/>
      <c r="J28" s="268">
        <v>300</v>
      </c>
      <c r="K28" s="1089">
        <v>-300</v>
      </c>
      <c r="L28" s="1318">
        <f>SUM(J28:K28)</f>
        <v>0</v>
      </c>
    </row>
    <row r="29" spans="1:12" ht="18" customHeight="1" x14ac:dyDescent="0.3">
      <c r="A29" s="243">
        <v>19</v>
      </c>
      <c r="B29" s="244"/>
      <c r="C29" s="259">
        <v>4</v>
      </c>
      <c r="D29" s="584" t="s">
        <v>1062</v>
      </c>
      <c r="E29" s="247"/>
      <c r="F29" s="255"/>
      <c r="G29" s="256"/>
      <c r="H29" s="257"/>
      <c r="I29" s="1086"/>
      <c r="J29" s="268"/>
      <c r="K29" s="1089">
        <v>300</v>
      </c>
      <c r="L29" s="1318">
        <f t="shared" ref="L29:L30" si="2">SUM(J29:K29)</f>
        <v>300</v>
      </c>
    </row>
    <row r="30" spans="1:12" ht="18" customHeight="1" x14ac:dyDescent="0.3">
      <c r="A30" s="243">
        <v>20</v>
      </c>
      <c r="B30" s="244"/>
      <c r="C30" s="259">
        <v>5</v>
      </c>
      <c r="D30" s="584" t="s">
        <v>1063</v>
      </c>
      <c r="E30" s="247"/>
      <c r="F30" s="255"/>
      <c r="G30" s="256"/>
      <c r="H30" s="257"/>
      <c r="I30" s="1086"/>
      <c r="J30" s="268"/>
      <c r="K30" s="1089">
        <v>200</v>
      </c>
      <c r="L30" s="1318">
        <f t="shared" si="2"/>
        <v>200</v>
      </c>
    </row>
    <row r="31" spans="1:12" ht="18" customHeight="1" x14ac:dyDescent="0.3">
      <c r="A31" s="243">
        <v>21</v>
      </c>
      <c r="B31" s="244"/>
      <c r="C31" s="260" t="s">
        <v>317</v>
      </c>
      <c r="D31" s="261"/>
      <c r="E31" s="247"/>
      <c r="F31" s="248">
        <v>414</v>
      </c>
      <c r="G31" s="249">
        <v>1000</v>
      </c>
      <c r="H31" s="250">
        <v>319</v>
      </c>
      <c r="I31" s="1086"/>
      <c r="J31" s="268"/>
      <c r="K31" s="1089"/>
      <c r="L31" s="1092"/>
    </row>
    <row r="32" spans="1:12" ht="31.5" customHeight="1" x14ac:dyDescent="0.3">
      <c r="A32" s="243">
        <v>22</v>
      </c>
      <c r="B32" s="244"/>
      <c r="C32" s="259">
        <v>2</v>
      </c>
      <c r="D32" s="584" t="s">
        <v>923</v>
      </c>
      <c r="E32" s="247"/>
      <c r="F32" s="255"/>
      <c r="G32" s="256"/>
      <c r="H32" s="257"/>
      <c r="I32" s="1086">
        <v>286</v>
      </c>
      <c r="J32" s="268">
        <v>286</v>
      </c>
      <c r="K32" s="1089">
        <v>414</v>
      </c>
      <c r="L32" s="1094">
        <f>SUM(J32:K32)</f>
        <v>700</v>
      </c>
    </row>
    <row r="33" spans="1:12" s="251" customFormat="1" ht="22.5" customHeight="1" x14ac:dyDescent="0.3">
      <c r="A33" s="243">
        <v>23</v>
      </c>
      <c r="B33" s="244">
        <v>4</v>
      </c>
      <c r="C33" s="262" t="s">
        <v>217</v>
      </c>
      <c r="D33" s="246"/>
      <c r="E33" s="247" t="s">
        <v>23</v>
      </c>
      <c r="F33" s="248">
        <v>2906</v>
      </c>
      <c r="G33" s="249">
        <v>1100</v>
      </c>
      <c r="H33" s="250">
        <v>3009</v>
      </c>
      <c r="I33" s="1085"/>
      <c r="J33" s="1431"/>
      <c r="K33" s="1090"/>
      <c r="L33" s="1094"/>
    </row>
    <row r="34" spans="1:12" ht="18" customHeight="1" x14ac:dyDescent="0.3">
      <c r="A34" s="243">
        <v>24</v>
      </c>
      <c r="B34" s="244"/>
      <c r="C34" s="259">
        <v>1</v>
      </c>
      <c r="D34" s="584" t="s">
        <v>478</v>
      </c>
      <c r="E34" s="247"/>
      <c r="F34" s="255"/>
      <c r="G34" s="256"/>
      <c r="H34" s="257"/>
      <c r="I34" s="1086"/>
      <c r="J34" s="268"/>
      <c r="K34" s="1089"/>
      <c r="L34" s="1094"/>
    </row>
    <row r="35" spans="1:12" ht="18" customHeight="1" x14ac:dyDescent="0.3">
      <c r="A35" s="243">
        <v>25</v>
      </c>
      <c r="B35" s="244"/>
      <c r="C35" s="259">
        <v>3</v>
      </c>
      <c r="D35" s="584" t="s">
        <v>986</v>
      </c>
      <c r="E35" s="247"/>
      <c r="F35" s="255"/>
      <c r="G35" s="256"/>
      <c r="H35" s="257"/>
      <c r="I35" s="1086"/>
      <c r="J35" s="268">
        <v>2000</v>
      </c>
      <c r="K35" s="1316">
        <f>47+1512</f>
        <v>1559</v>
      </c>
      <c r="L35" s="1094">
        <f>SUM(J35:K35)</f>
        <v>3559</v>
      </c>
    </row>
    <row r="36" spans="1:12" ht="18" customHeight="1" x14ac:dyDescent="0.3">
      <c r="A36" s="243">
        <v>26</v>
      </c>
      <c r="B36" s="244"/>
      <c r="C36" s="259">
        <v>4</v>
      </c>
      <c r="D36" s="584" t="s">
        <v>384</v>
      </c>
      <c r="E36" s="247"/>
      <c r="F36" s="255"/>
      <c r="G36" s="256"/>
      <c r="H36" s="257"/>
      <c r="I36" s="1086"/>
      <c r="J36" s="268">
        <v>400</v>
      </c>
      <c r="K36" s="1316">
        <v>-47</v>
      </c>
      <c r="L36" s="1094">
        <f>SUM(J36:K36)</f>
        <v>353</v>
      </c>
    </row>
    <row r="37" spans="1:12" ht="18" customHeight="1" x14ac:dyDescent="0.3">
      <c r="A37" s="243">
        <v>27</v>
      </c>
      <c r="B37" s="244"/>
      <c r="C37" s="263" t="s">
        <v>278</v>
      </c>
      <c r="D37" s="254"/>
      <c r="E37" s="247"/>
      <c r="F37" s="248">
        <v>1235</v>
      </c>
      <c r="G37" s="249">
        <v>300</v>
      </c>
      <c r="H37" s="250">
        <v>995</v>
      </c>
      <c r="I37" s="1086"/>
      <c r="J37" s="268"/>
      <c r="K37" s="1316"/>
      <c r="L37" s="1094"/>
    </row>
    <row r="38" spans="1:12" ht="18" customHeight="1" x14ac:dyDescent="0.3">
      <c r="A38" s="243">
        <v>28</v>
      </c>
      <c r="B38" s="244"/>
      <c r="C38" s="259">
        <v>2</v>
      </c>
      <c r="D38" s="584" t="s">
        <v>661</v>
      </c>
      <c r="E38" s="247"/>
      <c r="F38" s="255"/>
      <c r="G38" s="256"/>
      <c r="H38" s="257"/>
      <c r="I38" s="1086"/>
      <c r="J38" s="268">
        <v>50</v>
      </c>
      <c r="K38" s="1316"/>
      <c r="L38" s="1094">
        <f>SUM(J38:K38)</f>
        <v>50</v>
      </c>
    </row>
    <row r="39" spans="1:12" ht="18" customHeight="1" x14ac:dyDescent="0.3">
      <c r="A39" s="243">
        <v>29</v>
      </c>
      <c r="B39" s="244"/>
      <c r="C39" s="259">
        <v>5</v>
      </c>
      <c r="D39" s="584" t="s">
        <v>662</v>
      </c>
      <c r="E39" s="247"/>
      <c r="F39" s="255"/>
      <c r="G39" s="256"/>
      <c r="H39" s="257"/>
      <c r="I39" s="1086"/>
      <c r="J39" s="268">
        <v>700</v>
      </c>
      <c r="K39" s="1316"/>
      <c r="L39" s="1094">
        <f>SUM(J39:K39)</f>
        <v>700</v>
      </c>
    </row>
    <row r="40" spans="1:12" s="251" customFormat="1" ht="22.5" customHeight="1" x14ac:dyDescent="0.3">
      <c r="A40" s="243">
        <v>30</v>
      </c>
      <c r="B40" s="244">
        <v>5</v>
      </c>
      <c r="C40" s="262" t="s">
        <v>218</v>
      </c>
      <c r="D40" s="246"/>
      <c r="E40" s="247" t="s">
        <v>23</v>
      </c>
      <c r="F40" s="248">
        <v>1668</v>
      </c>
      <c r="G40" s="249">
        <v>800</v>
      </c>
      <c r="H40" s="250">
        <v>2068</v>
      </c>
      <c r="I40" s="1085"/>
      <c r="J40" s="1431"/>
      <c r="K40" s="1320"/>
      <c r="L40" s="1094"/>
    </row>
    <row r="41" spans="1:12" ht="18" customHeight="1" x14ac:dyDescent="0.3">
      <c r="A41" s="243">
        <v>31</v>
      </c>
      <c r="B41" s="244"/>
      <c r="C41" s="259">
        <v>1</v>
      </c>
      <c r="D41" s="584" t="s">
        <v>819</v>
      </c>
      <c r="E41" s="247"/>
      <c r="F41" s="255"/>
      <c r="G41" s="256"/>
      <c r="H41" s="257"/>
      <c r="I41" s="1086"/>
      <c r="J41" s="268">
        <v>150</v>
      </c>
      <c r="K41" s="1316"/>
      <c r="L41" s="1094">
        <f>SUM(J41:K41)</f>
        <v>150</v>
      </c>
    </row>
    <row r="42" spans="1:12" ht="18" customHeight="1" x14ac:dyDescent="0.3">
      <c r="A42" s="243">
        <v>32</v>
      </c>
      <c r="B42" s="244"/>
      <c r="C42" s="259">
        <v>3</v>
      </c>
      <c r="D42" s="584" t="s">
        <v>663</v>
      </c>
      <c r="E42" s="247"/>
      <c r="F42" s="255"/>
      <c r="G42" s="256"/>
      <c r="H42" s="257"/>
      <c r="I42" s="1086"/>
      <c r="J42" s="268">
        <v>1000</v>
      </c>
      <c r="K42" s="1316"/>
      <c r="L42" s="1094">
        <f>SUM(J42:K42)</f>
        <v>1000</v>
      </c>
    </row>
    <row r="43" spans="1:12" ht="32.25" customHeight="1" x14ac:dyDescent="0.3">
      <c r="A43" s="243">
        <v>33</v>
      </c>
      <c r="B43" s="244"/>
      <c r="C43" s="253">
        <v>5</v>
      </c>
      <c r="D43" s="584" t="s">
        <v>818</v>
      </c>
      <c r="E43" s="247"/>
      <c r="F43" s="255"/>
      <c r="G43" s="256"/>
      <c r="H43" s="257"/>
      <c r="I43" s="1086"/>
      <c r="J43" s="268">
        <v>2100</v>
      </c>
      <c r="K43" s="1316">
        <v>-500</v>
      </c>
      <c r="L43" s="1094">
        <f>SUM(J43:K43)</f>
        <v>1600</v>
      </c>
    </row>
    <row r="44" spans="1:12" ht="18" customHeight="1" x14ac:dyDescent="0.3">
      <c r="A44" s="243">
        <v>34</v>
      </c>
      <c r="B44" s="244"/>
      <c r="C44" s="253">
        <v>7</v>
      </c>
      <c r="D44" s="584" t="s">
        <v>1131</v>
      </c>
      <c r="E44" s="247"/>
      <c r="F44" s="255"/>
      <c r="G44" s="256"/>
      <c r="H44" s="257"/>
      <c r="I44" s="1086"/>
      <c r="J44" s="268"/>
      <c r="K44" s="1316">
        <v>500</v>
      </c>
      <c r="L44" s="1094">
        <f>SUM(J44:K44)</f>
        <v>500</v>
      </c>
    </row>
    <row r="45" spans="1:12" ht="18" customHeight="1" x14ac:dyDescent="0.3">
      <c r="A45" s="243">
        <v>35</v>
      </c>
      <c r="B45" s="244"/>
      <c r="C45" s="263" t="s">
        <v>279</v>
      </c>
      <c r="D45" s="254"/>
      <c r="E45" s="247"/>
      <c r="F45" s="248">
        <v>2017</v>
      </c>
      <c r="G45" s="249">
        <v>800</v>
      </c>
      <c r="H45" s="250">
        <v>2139</v>
      </c>
      <c r="I45" s="1086"/>
      <c r="J45" s="268"/>
      <c r="K45" s="1316"/>
      <c r="L45" s="1094"/>
    </row>
    <row r="46" spans="1:12" ht="18" customHeight="1" x14ac:dyDescent="0.3">
      <c r="A46" s="243">
        <v>36</v>
      </c>
      <c r="B46" s="244"/>
      <c r="C46" s="259">
        <v>2</v>
      </c>
      <c r="D46" s="584" t="s">
        <v>819</v>
      </c>
      <c r="E46" s="247"/>
      <c r="F46" s="255"/>
      <c r="G46" s="256"/>
      <c r="H46" s="257"/>
      <c r="I46" s="1086"/>
      <c r="J46" s="268">
        <v>250</v>
      </c>
      <c r="K46" s="1316"/>
      <c r="L46" s="1094">
        <f>SUM(J46:K46)</f>
        <v>250</v>
      </c>
    </row>
    <row r="47" spans="1:12" ht="18" customHeight="1" x14ac:dyDescent="0.3">
      <c r="A47" s="243">
        <v>37</v>
      </c>
      <c r="B47" s="244"/>
      <c r="C47" s="259">
        <v>4</v>
      </c>
      <c r="D47" s="584" t="s">
        <v>903</v>
      </c>
      <c r="E47" s="247"/>
      <c r="F47" s="255"/>
      <c r="G47" s="256"/>
      <c r="H47" s="257"/>
      <c r="I47" s="1086"/>
      <c r="J47" s="268">
        <v>2000</v>
      </c>
      <c r="K47" s="1316"/>
      <c r="L47" s="1094">
        <f>SUM(J47:K47)</f>
        <v>2000</v>
      </c>
    </row>
    <row r="48" spans="1:12" ht="18" customHeight="1" x14ac:dyDescent="0.3">
      <c r="A48" s="243">
        <v>38</v>
      </c>
      <c r="B48" s="244"/>
      <c r="C48" s="259">
        <v>6</v>
      </c>
      <c r="D48" s="584" t="s">
        <v>852</v>
      </c>
      <c r="E48" s="247"/>
      <c r="F48" s="255"/>
      <c r="G48" s="256"/>
      <c r="H48" s="257"/>
      <c r="I48" s="1086"/>
      <c r="J48" s="268">
        <v>2000</v>
      </c>
      <c r="K48" s="1316"/>
      <c r="L48" s="1094">
        <f>SUM(J48:K48)</f>
        <v>2000</v>
      </c>
    </row>
    <row r="49" spans="1:12" s="251" customFormat="1" ht="22.5" customHeight="1" x14ac:dyDescent="0.3">
      <c r="A49" s="243">
        <v>39</v>
      </c>
      <c r="B49" s="244">
        <v>6</v>
      </c>
      <c r="C49" s="262" t="s">
        <v>219</v>
      </c>
      <c r="D49" s="246"/>
      <c r="E49" s="247" t="s">
        <v>23</v>
      </c>
      <c r="F49" s="248">
        <v>1615</v>
      </c>
      <c r="G49" s="249">
        <v>500</v>
      </c>
      <c r="H49" s="250">
        <v>3045</v>
      </c>
      <c r="I49" s="1085"/>
      <c r="J49" s="1431"/>
      <c r="K49" s="1320"/>
      <c r="L49" s="1094"/>
    </row>
    <row r="50" spans="1:12" ht="29.25" customHeight="1" x14ac:dyDescent="0.3">
      <c r="A50" s="243">
        <v>40</v>
      </c>
      <c r="B50" s="244"/>
      <c r="C50" s="253">
        <v>1</v>
      </c>
      <c r="D50" s="584" t="s">
        <v>981</v>
      </c>
      <c r="E50" s="247"/>
      <c r="F50" s="255"/>
      <c r="G50" s="256"/>
      <c r="H50" s="257"/>
      <c r="I50" s="1086"/>
      <c r="J50" s="268">
        <v>280</v>
      </c>
      <c r="K50" s="1315">
        <v>25</v>
      </c>
      <c r="L50" s="1094">
        <f>SUM(J50:K50)</f>
        <v>305</v>
      </c>
    </row>
    <row r="51" spans="1:12" ht="18" customHeight="1" x14ac:dyDescent="0.3">
      <c r="A51" s="243">
        <v>41</v>
      </c>
      <c r="B51" s="244"/>
      <c r="C51" s="259">
        <v>3</v>
      </c>
      <c r="D51" s="584" t="s">
        <v>980</v>
      </c>
      <c r="E51" s="247"/>
      <c r="F51" s="255"/>
      <c r="G51" s="256"/>
      <c r="H51" s="257"/>
      <c r="I51" s="1086"/>
      <c r="J51" s="268">
        <v>500</v>
      </c>
      <c r="K51" s="1315">
        <v>600</v>
      </c>
      <c r="L51" s="1094">
        <f>SUM(J51:K51)</f>
        <v>1100</v>
      </c>
    </row>
    <row r="52" spans="1:12" ht="18" customHeight="1" x14ac:dyDescent="0.3">
      <c r="A52" s="243">
        <v>42</v>
      </c>
      <c r="B52" s="244"/>
      <c r="C52" s="259">
        <v>4</v>
      </c>
      <c r="D52" s="584" t="s">
        <v>982</v>
      </c>
      <c r="E52" s="247"/>
      <c r="F52" s="255"/>
      <c r="G52" s="256"/>
      <c r="H52" s="257"/>
      <c r="I52" s="1086"/>
      <c r="J52" s="268"/>
      <c r="K52" s="1315">
        <v>200</v>
      </c>
      <c r="L52" s="1094">
        <f>SUM(J52:K52)</f>
        <v>200</v>
      </c>
    </row>
    <row r="53" spans="1:12" ht="18" customHeight="1" x14ac:dyDescent="0.3">
      <c r="A53" s="243">
        <v>43</v>
      </c>
      <c r="B53" s="244"/>
      <c r="C53" s="263" t="s">
        <v>280</v>
      </c>
      <c r="D53" s="254"/>
      <c r="E53" s="247"/>
      <c r="F53" s="248">
        <v>1438</v>
      </c>
      <c r="G53" s="249">
        <v>200</v>
      </c>
      <c r="H53" s="250">
        <v>1220</v>
      </c>
      <c r="I53" s="1086"/>
      <c r="J53" s="268"/>
      <c r="K53" s="1089"/>
      <c r="L53" s="1092"/>
    </row>
    <row r="54" spans="1:12" ht="18" customHeight="1" x14ac:dyDescent="0.3">
      <c r="A54" s="243">
        <v>44</v>
      </c>
      <c r="B54" s="244"/>
      <c r="C54" s="259">
        <v>2</v>
      </c>
      <c r="D54" s="584" t="s">
        <v>821</v>
      </c>
      <c r="E54" s="247"/>
      <c r="F54" s="255"/>
      <c r="G54" s="256"/>
      <c r="H54" s="257"/>
      <c r="I54" s="1086"/>
      <c r="J54" s="268">
        <v>120</v>
      </c>
      <c r="K54" s="1089"/>
      <c r="L54" s="1092">
        <f>SUM(J54:K54)</f>
        <v>120</v>
      </c>
    </row>
    <row r="55" spans="1:12" ht="18" customHeight="1" x14ac:dyDescent="0.3">
      <c r="A55" s="243">
        <v>45</v>
      </c>
      <c r="B55" s="244"/>
      <c r="C55" s="271">
        <v>5</v>
      </c>
      <c r="D55" s="584" t="s">
        <v>983</v>
      </c>
      <c r="E55" s="247"/>
      <c r="F55" s="255"/>
      <c r="G55" s="256"/>
      <c r="H55" s="257"/>
      <c r="I55" s="1086"/>
      <c r="J55" s="268"/>
      <c r="K55" s="1089">
        <v>250</v>
      </c>
      <c r="L55" s="1092">
        <f t="shared" ref="L55:L56" si="3">SUM(J55:K55)</f>
        <v>250</v>
      </c>
    </row>
    <row r="56" spans="1:12" ht="18" customHeight="1" x14ac:dyDescent="0.3">
      <c r="A56" s="243">
        <v>46</v>
      </c>
      <c r="B56" s="244"/>
      <c r="C56" s="271">
        <v>6</v>
      </c>
      <c r="D56" s="584" t="s">
        <v>984</v>
      </c>
      <c r="E56" s="247"/>
      <c r="F56" s="255"/>
      <c r="G56" s="256"/>
      <c r="H56" s="257"/>
      <c r="I56" s="1086"/>
      <c r="J56" s="268"/>
      <c r="K56" s="1089">
        <v>200</v>
      </c>
      <c r="L56" s="1092">
        <f t="shared" si="3"/>
        <v>200</v>
      </c>
    </row>
    <row r="57" spans="1:12" s="251" customFormat="1" ht="22.5" customHeight="1" x14ac:dyDescent="0.3">
      <c r="A57" s="243">
        <v>47</v>
      </c>
      <c r="B57" s="244">
        <v>7</v>
      </c>
      <c r="C57" s="245" t="s">
        <v>253</v>
      </c>
      <c r="D57" s="246"/>
      <c r="E57" s="247" t="s">
        <v>23</v>
      </c>
      <c r="F57" s="264"/>
      <c r="G57" s="249"/>
      <c r="H57" s="265"/>
      <c r="I57" s="1085"/>
      <c r="J57" s="1431"/>
      <c r="K57" s="1090"/>
      <c r="L57" s="1093"/>
    </row>
    <row r="58" spans="1:12" ht="18" customHeight="1" x14ac:dyDescent="0.3">
      <c r="A58" s="243">
        <v>48</v>
      </c>
      <c r="B58" s="244"/>
      <c r="C58" s="263" t="s">
        <v>297</v>
      </c>
      <c r="D58" s="266"/>
      <c r="E58" s="247"/>
      <c r="F58" s="248">
        <v>480</v>
      </c>
      <c r="G58" s="249">
        <v>400</v>
      </c>
      <c r="H58" s="250">
        <v>1592</v>
      </c>
      <c r="I58" s="1086"/>
      <c r="J58" s="268"/>
      <c r="K58" s="1089"/>
      <c r="L58" s="1092"/>
    </row>
    <row r="59" spans="1:12" ht="30" customHeight="1" x14ac:dyDescent="0.3">
      <c r="A59" s="243">
        <v>49</v>
      </c>
      <c r="B59" s="244"/>
      <c r="C59" s="253">
        <v>1</v>
      </c>
      <c r="D59" s="584" t="s">
        <v>669</v>
      </c>
      <c r="E59" s="247"/>
      <c r="F59" s="255"/>
      <c r="G59" s="256"/>
      <c r="H59" s="257"/>
      <c r="I59" s="1086"/>
      <c r="J59" s="268">
        <v>1000</v>
      </c>
      <c r="K59" s="1316"/>
      <c r="L59" s="1094">
        <f>SUM(J59:K59)</f>
        <v>1000</v>
      </c>
    </row>
    <row r="60" spans="1:12" ht="18" customHeight="1" x14ac:dyDescent="0.3">
      <c r="A60" s="243">
        <v>50</v>
      </c>
      <c r="B60" s="244"/>
      <c r="C60" s="263" t="s">
        <v>281</v>
      </c>
      <c r="D60" s="266"/>
      <c r="E60" s="247"/>
      <c r="F60" s="248">
        <v>1193</v>
      </c>
      <c r="G60" s="249">
        <v>800</v>
      </c>
      <c r="H60" s="250">
        <v>2735</v>
      </c>
      <c r="I60" s="1086"/>
      <c r="J60" s="268"/>
      <c r="K60" s="1316"/>
      <c r="L60" s="1094"/>
    </row>
    <row r="61" spans="1:12" ht="30" customHeight="1" x14ac:dyDescent="0.3">
      <c r="A61" s="243">
        <v>51</v>
      </c>
      <c r="B61" s="244"/>
      <c r="C61" s="253">
        <v>2</v>
      </c>
      <c r="D61" s="584" t="s">
        <v>669</v>
      </c>
      <c r="E61" s="247"/>
      <c r="F61" s="255"/>
      <c r="G61" s="256"/>
      <c r="H61" s="257"/>
      <c r="I61" s="1086"/>
      <c r="J61" s="268">
        <v>2000</v>
      </c>
      <c r="K61" s="1316"/>
      <c r="L61" s="1094">
        <f>SUM(J61:K61)</f>
        <v>2000</v>
      </c>
    </row>
    <row r="62" spans="1:12" ht="18" customHeight="1" x14ac:dyDescent="0.3">
      <c r="A62" s="243">
        <v>52</v>
      </c>
      <c r="B62" s="244"/>
      <c r="C62" s="263" t="s">
        <v>282</v>
      </c>
      <c r="D62" s="266"/>
      <c r="E62" s="247"/>
      <c r="F62" s="248">
        <v>1436</v>
      </c>
      <c r="G62" s="249">
        <v>1200</v>
      </c>
      <c r="H62" s="250">
        <v>4128</v>
      </c>
      <c r="I62" s="1086"/>
      <c r="J62" s="268"/>
      <c r="K62" s="1316"/>
      <c r="L62" s="1094"/>
    </row>
    <row r="63" spans="1:12" ht="29.25" customHeight="1" x14ac:dyDescent="0.3">
      <c r="A63" s="243">
        <v>53</v>
      </c>
      <c r="B63" s="244"/>
      <c r="C63" s="253">
        <v>3</v>
      </c>
      <c r="D63" s="584" t="s">
        <v>669</v>
      </c>
      <c r="E63" s="247"/>
      <c r="F63" s="255"/>
      <c r="G63" s="256"/>
      <c r="H63" s="257"/>
      <c r="I63" s="1086"/>
      <c r="J63" s="268">
        <v>3000</v>
      </c>
      <c r="K63" s="1316">
        <v>-982</v>
      </c>
      <c r="L63" s="1094">
        <f>SUM(J63:K63)</f>
        <v>2018</v>
      </c>
    </row>
    <row r="64" spans="1:12" ht="18" customHeight="1" x14ac:dyDescent="0.3">
      <c r="A64" s="243">
        <v>54</v>
      </c>
      <c r="B64" s="244"/>
      <c r="C64" s="253">
        <v>25</v>
      </c>
      <c r="D64" s="584" t="s">
        <v>704</v>
      </c>
      <c r="E64" s="247"/>
      <c r="F64" s="255"/>
      <c r="G64" s="256"/>
      <c r="H64" s="257"/>
      <c r="I64" s="1086"/>
      <c r="J64" s="268">
        <v>300</v>
      </c>
      <c r="K64" s="1316"/>
      <c r="L64" s="1094">
        <f>SUM(J64:K64)</f>
        <v>300</v>
      </c>
    </row>
    <row r="65" spans="1:12" ht="18" customHeight="1" x14ac:dyDescent="0.3">
      <c r="A65" s="243">
        <v>55</v>
      </c>
      <c r="B65" s="244"/>
      <c r="C65" s="253">
        <v>26</v>
      </c>
      <c r="D65" s="584" t="s">
        <v>974</v>
      </c>
      <c r="E65" s="247"/>
      <c r="F65" s="255"/>
      <c r="G65" s="256"/>
      <c r="H65" s="257"/>
      <c r="I65" s="1086"/>
      <c r="J65" s="268"/>
      <c r="K65" s="1316">
        <v>982</v>
      </c>
      <c r="L65" s="1094">
        <f>SUM(J65:K65)</f>
        <v>982</v>
      </c>
    </row>
    <row r="66" spans="1:12" ht="18" customHeight="1" x14ac:dyDescent="0.3">
      <c r="A66" s="243">
        <v>56</v>
      </c>
      <c r="B66" s="244"/>
      <c r="C66" s="263" t="s">
        <v>284</v>
      </c>
      <c r="D66" s="254"/>
      <c r="E66" s="247"/>
      <c r="F66" s="248">
        <v>1420</v>
      </c>
      <c r="G66" s="249">
        <v>1000</v>
      </c>
      <c r="H66" s="250">
        <v>4163</v>
      </c>
      <c r="I66" s="1086"/>
      <c r="J66" s="268"/>
      <c r="K66" s="1316"/>
      <c r="L66" s="1094"/>
    </row>
    <row r="67" spans="1:12" ht="29.25" customHeight="1" x14ac:dyDescent="0.3">
      <c r="A67" s="243">
        <v>57</v>
      </c>
      <c r="B67" s="244"/>
      <c r="C67" s="253">
        <v>4</v>
      </c>
      <c r="D67" s="584" t="s">
        <v>669</v>
      </c>
      <c r="E67" s="247"/>
      <c r="F67" s="255"/>
      <c r="G67" s="256"/>
      <c r="H67" s="257"/>
      <c r="I67" s="1086"/>
      <c r="J67" s="268">
        <v>3000</v>
      </c>
      <c r="K67" s="1316"/>
      <c r="L67" s="1094">
        <f>SUM(J67:K67)</f>
        <v>3000</v>
      </c>
    </row>
    <row r="68" spans="1:12" ht="18" customHeight="1" x14ac:dyDescent="0.3">
      <c r="A68" s="243">
        <v>58</v>
      </c>
      <c r="B68" s="244"/>
      <c r="C68" s="263" t="s">
        <v>283</v>
      </c>
      <c r="D68" s="266"/>
      <c r="E68" s="247"/>
      <c r="F68" s="248">
        <v>949</v>
      </c>
      <c r="G68" s="249">
        <v>800</v>
      </c>
      <c r="H68" s="250">
        <v>2662</v>
      </c>
      <c r="I68" s="1086"/>
      <c r="J68" s="268"/>
      <c r="K68" s="1316"/>
      <c r="L68" s="1094"/>
    </row>
    <row r="69" spans="1:12" ht="30.75" customHeight="1" x14ac:dyDescent="0.3">
      <c r="A69" s="243">
        <v>59</v>
      </c>
      <c r="B69" s="244"/>
      <c r="C69" s="253">
        <v>5</v>
      </c>
      <c r="D69" s="584" t="s">
        <v>669</v>
      </c>
      <c r="E69" s="247"/>
      <c r="F69" s="255"/>
      <c r="G69" s="256"/>
      <c r="H69" s="257"/>
      <c r="I69" s="1086"/>
      <c r="J69" s="268">
        <v>2000</v>
      </c>
      <c r="K69" s="1316"/>
      <c r="L69" s="1094">
        <f>SUM(J69:K69)</f>
        <v>2000</v>
      </c>
    </row>
    <row r="70" spans="1:12" ht="18" customHeight="1" x14ac:dyDescent="0.3">
      <c r="A70" s="243">
        <v>60</v>
      </c>
      <c r="B70" s="244"/>
      <c r="C70" s="253">
        <v>6</v>
      </c>
      <c r="D70" s="584" t="s">
        <v>709</v>
      </c>
      <c r="E70" s="247"/>
      <c r="F70" s="255"/>
      <c r="G70" s="256"/>
      <c r="H70" s="257"/>
      <c r="I70" s="1086"/>
      <c r="J70" s="268">
        <v>300</v>
      </c>
      <c r="K70" s="1316"/>
      <c r="L70" s="1094">
        <f>SUM(J70:K70)</f>
        <v>300</v>
      </c>
    </row>
    <row r="71" spans="1:12" ht="18" customHeight="1" x14ac:dyDescent="0.3">
      <c r="A71" s="243">
        <v>61</v>
      </c>
      <c r="B71" s="244"/>
      <c r="C71" s="263" t="s">
        <v>327</v>
      </c>
      <c r="D71" s="266"/>
      <c r="E71" s="247"/>
      <c r="F71" s="248">
        <v>60</v>
      </c>
      <c r="G71" s="249">
        <v>100</v>
      </c>
      <c r="H71" s="250">
        <v>371</v>
      </c>
      <c r="I71" s="1086"/>
      <c r="J71" s="268"/>
      <c r="K71" s="1316"/>
      <c r="L71" s="1094"/>
    </row>
    <row r="72" spans="1:12" ht="30" customHeight="1" x14ac:dyDescent="0.3">
      <c r="A72" s="243">
        <v>62</v>
      </c>
      <c r="B72" s="244"/>
      <c r="C72" s="253">
        <v>7</v>
      </c>
      <c r="D72" s="584" t="s">
        <v>669</v>
      </c>
      <c r="E72" s="247"/>
      <c r="F72" s="255"/>
      <c r="G72" s="256"/>
      <c r="H72" s="257"/>
      <c r="I72" s="1086"/>
      <c r="J72" s="268">
        <v>250</v>
      </c>
      <c r="K72" s="1316"/>
      <c r="L72" s="1094">
        <f>SUM(J72:K72)</f>
        <v>250</v>
      </c>
    </row>
    <row r="73" spans="1:12" ht="18" customHeight="1" x14ac:dyDescent="0.3">
      <c r="A73" s="243">
        <v>63</v>
      </c>
      <c r="B73" s="244"/>
      <c r="C73" s="263" t="s">
        <v>260</v>
      </c>
      <c r="D73" s="254"/>
      <c r="E73" s="247"/>
      <c r="F73" s="248">
        <v>21889</v>
      </c>
      <c r="G73" s="249">
        <v>4029</v>
      </c>
      <c r="H73" s="250">
        <f>8027-1666</f>
        <v>6361</v>
      </c>
      <c r="I73" s="1085"/>
      <c r="J73" s="1431"/>
      <c r="K73" s="1089"/>
      <c r="L73" s="1092"/>
    </row>
    <row r="74" spans="1:12" ht="18" customHeight="1" x14ac:dyDescent="0.3">
      <c r="A74" s="243">
        <v>64</v>
      </c>
      <c r="B74" s="244"/>
      <c r="C74" s="267" t="s">
        <v>479</v>
      </c>
      <c r="D74" s="254"/>
      <c r="E74" s="247"/>
      <c r="F74" s="248"/>
      <c r="G74" s="249"/>
      <c r="H74" s="250"/>
      <c r="I74" s="1085"/>
      <c r="J74" s="1431"/>
      <c r="K74" s="1089"/>
      <c r="L74" s="1092"/>
    </row>
    <row r="75" spans="1:12" ht="18" customHeight="1" x14ac:dyDescent="0.3">
      <c r="A75" s="243">
        <v>65</v>
      </c>
      <c r="B75" s="244"/>
      <c r="C75" s="253">
        <v>22</v>
      </c>
      <c r="D75" s="584" t="s">
        <v>670</v>
      </c>
      <c r="E75" s="247"/>
      <c r="F75" s="248"/>
      <c r="G75" s="249"/>
      <c r="H75" s="250"/>
      <c r="I75" s="1085"/>
      <c r="J75" s="268">
        <v>4750</v>
      </c>
      <c r="K75" s="1316">
        <v>-440</v>
      </c>
      <c r="L75" s="1094">
        <f>SUM(J75:K75)</f>
        <v>4310</v>
      </c>
    </row>
    <row r="76" spans="1:12" ht="30" customHeight="1" x14ac:dyDescent="0.3">
      <c r="A76" s="243">
        <v>66</v>
      </c>
      <c r="B76" s="244"/>
      <c r="C76" s="253">
        <v>23</v>
      </c>
      <c r="D76" s="584" t="s">
        <v>599</v>
      </c>
      <c r="E76" s="247"/>
      <c r="F76" s="248"/>
      <c r="G76" s="249"/>
      <c r="H76" s="250">
        <v>1666</v>
      </c>
      <c r="I76" s="1086">
        <v>2334</v>
      </c>
      <c r="J76" s="268">
        <v>1210</v>
      </c>
      <c r="K76" s="1316"/>
      <c r="L76" s="1094">
        <f>SUM(J76:K76)</f>
        <v>1210</v>
      </c>
    </row>
    <row r="77" spans="1:12" ht="20.25" customHeight="1" x14ac:dyDescent="0.3">
      <c r="A77" s="243">
        <v>67</v>
      </c>
      <c r="B77" s="244"/>
      <c r="C77" s="253">
        <v>24</v>
      </c>
      <c r="D77" s="584" t="s">
        <v>823</v>
      </c>
      <c r="E77" s="247"/>
      <c r="F77" s="248"/>
      <c r="G77" s="249"/>
      <c r="H77" s="250"/>
      <c r="I77" s="1086"/>
      <c r="J77" s="268">
        <v>1700</v>
      </c>
      <c r="K77" s="1316"/>
      <c r="L77" s="1094">
        <f>SUM(J77:K77)</f>
        <v>1700</v>
      </c>
    </row>
    <row r="78" spans="1:12" ht="20.25" customHeight="1" x14ac:dyDescent="0.3">
      <c r="A78" s="243">
        <v>68</v>
      </c>
      <c r="B78" s="244"/>
      <c r="C78" s="253">
        <v>27</v>
      </c>
      <c r="D78" s="584" t="s">
        <v>975</v>
      </c>
      <c r="E78" s="247"/>
      <c r="F78" s="248"/>
      <c r="G78" s="249"/>
      <c r="H78" s="250"/>
      <c r="I78" s="1086"/>
      <c r="J78" s="268"/>
      <c r="K78" s="1316">
        <v>440</v>
      </c>
      <c r="L78" s="1094">
        <f>SUM(J78:K78)</f>
        <v>440</v>
      </c>
    </row>
    <row r="79" spans="1:12" s="251" customFormat="1" ht="22.5" customHeight="1" x14ac:dyDescent="0.3">
      <c r="A79" s="243">
        <v>69</v>
      </c>
      <c r="B79" s="244">
        <v>8</v>
      </c>
      <c r="C79" s="262" t="s">
        <v>97</v>
      </c>
      <c r="D79" s="246"/>
      <c r="E79" s="247" t="s">
        <v>23</v>
      </c>
      <c r="F79" s="248">
        <v>875</v>
      </c>
      <c r="G79" s="249">
        <v>500</v>
      </c>
      <c r="H79" s="250">
        <v>971</v>
      </c>
      <c r="I79" s="1085"/>
      <c r="J79" s="1431"/>
      <c r="K79" s="1090"/>
      <c r="L79" s="1093"/>
    </row>
    <row r="80" spans="1:12" ht="18" customHeight="1" x14ac:dyDescent="0.3">
      <c r="A80" s="243">
        <v>70</v>
      </c>
      <c r="B80" s="244"/>
      <c r="C80" s="259">
        <v>2</v>
      </c>
      <c r="D80" s="584" t="s">
        <v>672</v>
      </c>
      <c r="E80" s="247"/>
      <c r="F80" s="255"/>
      <c r="G80" s="256"/>
      <c r="H80" s="257"/>
      <c r="I80" s="1086">
        <v>1200</v>
      </c>
      <c r="J80" s="268">
        <v>100</v>
      </c>
      <c r="K80" s="1316"/>
      <c r="L80" s="1094">
        <f>SUM(J80:K80)</f>
        <v>100</v>
      </c>
    </row>
    <row r="81" spans="1:12" ht="18" customHeight="1" x14ac:dyDescent="0.3">
      <c r="A81" s="243">
        <v>71</v>
      </c>
      <c r="B81" s="244"/>
      <c r="C81" s="259">
        <v>3</v>
      </c>
      <c r="D81" s="584" t="s">
        <v>673</v>
      </c>
      <c r="E81" s="247"/>
      <c r="F81" s="255"/>
      <c r="G81" s="256"/>
      <c r="H81" s="257"/>
      <c r="I81" s="1086"/>
      <c r="J81" s="268">
        <v>1300</v>
      </c>
      <c r="K81" s="1316"/>
      <c r="L81" s="1094">
        <f>SUM(J81:K81)</f>
        <v>1300</v>
      </c>
    </row>
    <row r="82" spans="1:12" ht="18" customHeight="1" x14ac:dyDescent="0.3">
      <c r="A82" s="243">
        <v>72</v>
      </c>
      <c r="B82" s="244"/>
      <c r="C82" s="259">
        <v>4</v>
      </c>
      <c r="D82" s="584" t="s">
        <v>671</v>
      </c>
      <c r="E82" s="247"/>
      <c r="F82" s="255"/>
      <c r="G82" s="256"/>
      <c r="H82" s="257"/>
      <c r="I82" s="1086"/>
      <c r="J82" s="268">
        <v>300</v>
      </c>
      <c r="K82" s="1316"/>
      <c r="L82" s="1094">
        <f>SUM(J82:K82)</f>
        <v>300</v>
      </c>
    </row>
    <row r="83" spans="1:12" s="251" customFormat="1" ht="22.5" customHeight="1" x14ac:dyDescent="0.3">
      <c r="A83" s="243">
        <v>73</v>
      </c>
      <c r="B83" s="244">
        <v>9</v>
      </c>
      <c r="C83" s="262" t="s">
        <v>292</v>
      </c>
      <c r="D83" s="246"/>
      <c r="E83" s="247" t="s">
        <v>23</v>
      </c>
      <c r="F83" s="248">
        <v>940</v>
      </c>
      <c r="G83" s="249">
        <v>500</v>
      </c>
      <c r="H83" s="250">
        <v>1534</v>
      </c>
      <c r="I83" s="1085"/>
      <c r="J83" s="1431"/>
      <c r="K83" s="1090"/>
      <c r="L83" s="1093"/>
    </row>
    <row r="84" spans="1:12" ht="18" customHeight="1" x14ac:dyDescent="0.3">
      <c r="A84" s="243">
        <v>74</v>
      </c>
      <c r="B84" s="244"/>
      <c r="C84" s="259">
        <v>5</v>
      </c>
      <c r="D84" s="584" t="s">
        <v>601</v>
      </c>
      <c r="E84" s="247"/>
      <c r="F84" s="255"/>
      <c r="G84" s="256"/>
      <c r="H84" s="257"/>
      <c r="I84" s="1086">
        <v>1550</v>
      </c>
      <c r="J84" s="268">
        <v>50</v>
      </c>
      <c r="K84" s="1316"/>
      <c r="L84" s="1094">
        <f>SUM(J84:K84)</f>
        <v>50</v>
      </c>
    </row>
    <row r="85" spans="1:12" ht="18" customHeight="1" x14ac:dyDescent="0.3">
      <c r="A85" s="243">
        <v>75</v>
      </c>
      <c r="B85" s="244"/>
      <c r="C85" s="271">
        <v>6</v>
      </c>
      <c r="D85" s="584" t="s">
        <v>727</v>
      </c>
      <c r="E85" s="247"/>
      <c r="F85" s="255"/>
      <c r="G85" s="256"/>
      <c r="H85" s="257"/>
      <c r="I85" s="1086"/>
      <c r="J85" s="268">
        <v>800</v>
      </c>
      <c r="K85" s="1315"/>
      <c r="L85" s="1094">
        <f>SUM(J85:K85)</f>
        <v>800</v>
      </c>
    </row>
    <row r="86" spans="1:12" ht="63.75" customHeight="1" x14ac:dyDescent="0.3">
      <c r="A86" s="243">
        <v>76</v>
      </c>
      <c r="B86" s="244"/>
      <c r="C86" s="1322">
        <v>1</v>
      </c>
      <c r="D86" s="584" t="s">
        <v>1132</v>
      </c>
      <c r="E86" s="247"/>
      <c r="F86" s="255"/>
      <c r="G86" s="256"/>
      <c r="H86" s="257"/>
      <c r="I86" s="1086"/>
      <c r="J86" s="268">
        <v>1650</v>
      </c>
      <c r="K86" s="1316">
        <v>70</v>
      </c>
      <c r="L86" s="1094">
        <f t="shared" ref="L86:L93" si="4">SUM(J86:K86)</f>
        <v>1720</v>
      </c>
    </row>
    <row r="87" spans="1:12" s="251" customFormat="1" ht="22.5" customHeight="1" x14ac:dyDescent="0.3">
      <c r="A87" s="243">
        <v>77</v>
      </c>
      <c r="B87" s="244">
        <v>10</v>
      </c>
      <c r="C87" s="245" t="s">
        <v>294</v>
      </c>
      <c r="D87" s="246"/>
      <c r="E87" s="247" t="s">
        <v>23</v>
      </c>
      <c r="F87" s="248">
        <v>54822</v>
      </c>
      <c r="G87" s="249">
        <v>24882</v>
      </c>
      <c r="H87" s="250">
        <v>41699</v>
      </c>
      <c r="I87" s="1085"/>
      <c r="J87" s="1431"/>
      <c r="K87" s="1090"/>
      <c r="L87" s="1094">
        <f t="shared" si="4"/>
        <v>0</v>
      </c>
    </row>
    <row r="88" spans="1:12" ht="18" customHeight="1" x14ac:dyDescent="0.3">
      <c r="A88" s="243">
        <v>78</v>
      </c>
      <c r="B88" s="244"/>
      <c r="C88" s="259">
        <v>1</v>
      </c>
      <c r="D88" s="584" t="s">
        <v>728</v>
      </c>
      <c r="E88" s="247"/>
      <c r="F88" s="255"/>
      <c r="G88" s="256"/>
      <c r="H88" s="257"/>
      <c r="I88" s="1086"/>
      <c r="J88" s="268">
        <v>4220</v>
      </c>
      <c r="K88" s="1316">
        <v>718</v>
      </c>
      <c r="L88" s="1094">
        <f t="shared" si="4"/>
        <v>4938</v>
      </c>
    </row>
    <row r="89" spans="1:12" ht="18" customHeight="1" x14ac:dyDescent="0.3">
      <c r="A89" s="243">
        <v>79</v>
      </c>
      <c r="B89" s="244"/>
      <c r="C89" s="259">
        <v>2</v>
      </c>
      <c r="D89" s="584" t="s">
        <v>664</v>
      </c>
      <c r="E89" s="247"/>
      <c r="F89" s="255"/>
      <c r="G89" s="256"/>
      <c r="H89" s="257"/>
      <c r="I89" s="1086"/>
      <c r="J89" s="268">
        <v>3000</v>
      </c>
      <c r="K89" s="1316"/>
      <c r="L89" s="1094">
        <f t="shared" si="4"/>
        <v>3000</v>
      </c>
    </row>
    <row r="90" spans="1:12" ht="30" customHeight="1" x14ac:dyDescent="0.3">
      <c r="A90" s="243">
        <v>80</v>
      </c>
      <c r="B90" s="244"/>
      <c r="C90" s="253">
        <v>3</v>
      </c>
      <c r="D90" s="584" t="s">
        <v>668</v>
      </c>
      <c r="E90" s="247"/>
      <c r="F90" s="255"/>
      <c r="G90" s="256"/>
      <c r="H90" s="257"/>
      <c r="I90" s="1086"/>
      <c r="J90" s="268">
        <v>6700</v>
      </c>
      <c r="K90" s="1316"/>
      <c r="L90" s="1094">
        <f t="shared" si="4"/>
        <v>6700</v>
      </c>
    </row>
    <row r="91" spans="1:12" ht="18" customHeight="1" x14ac:dyDescent="0.3">
      <c r="A91" s="243">
        <v>81</v>
      </c>
      <c r="B91" s="244"/>
      <c r="C91" s="259">
        <v>4</v>
      </c>
      <c r="D91" s="584" t="s">
        <v>665</v>
      </c>
      <c r="E91" s="247"/>
      <c r="F91" s="255"/>
      <c r="G91" s="256"/>
      <c r="H91" s="257"/>
      <c r="I91" s="1086"/>
      <c r="J91" s="268">
        <v>1000</v>
      </c>
      <c r="K91" s="1316"/>
      <c r="L91" s="1094">
        <f t="shared" si="4"/>
        <v>1000</v>
      </c>
    </row>
    <row r="92" spans="1:12" ht="18" customHeight="1" x14ac:dyDescent="0.3">
      <c r="A92" s="243">
        <v>82</v>
      </c>
      <c r="B92" s="244"/>
      <c r="C92" s="259">
        <v>5</v>
      </c>
      <c r="D92" s="584" t="s">
        <v>666</v>
      </c>
      <c r="E92" s="247"/>
      <c r="F92" s="255"/>
      <c r="G92" s="256"/>
      <c r="H92" s="257"/>
      <c r="I92" s="1086"/>
      <c r="J92" s="268">
        <v>500</v>
      </c>
      <c r="K92" s="1316"/>
      <c r="L92" s="1094">
        <f t="shared" si="4"/>
        <v>500</v>
      </c>
    </row>
    <row r="93" spans="1:12" ht="18" customHeight="1" x14ac:dyDescent="0.3">
      <c r="A93" s="243">
        <v>83</v>
      </c>
      <c r="B93" s="244"/>
      <c r="C93" s="259">
        <v>6</v>
      </c>
      <c r="D93" s="584" t="s">
        <v>667</v>
      </c>
      <c r="E93" s="247"/>
      <c r="F93" s="255"/>
      <c r="G93" s="256"/>
      <c r="H93" s="257"/>
      <c r="I93" s="1086"/>
      <c r="J93" s="268">
        <v>2000</v>
      </c>
      <c r="K93" s="1316">
        <v>-524</v>
      </c>
      <c r="L93" s="1094">
        <f t="shared" si="4"/>
        <v>1476</v>
      </c>
    </row>
    <row r="94" spans="1:12" ht="18" customHeight="1" x14ac:dyDescent="0.3">
      <c r="A94" s="243">
        <v>84</v>
      </c>
      <c r="B94" s="244"/>
      <c r="C94" s="259">
        <v>7</v>
      </c>
      <c r="D94" s="584" t="s">
        <v>724</v>
      </c>
      <c r="E94" s="247"/>
      <c r="F94" s="255"/>
      <c r="G94" s="256"/>
      <c r="H94" s="257"/>
      <c r="I94" s="1086"/>
      <c r="J94" s="268">
        <v>1780</v>
      </c>
      <c r="K94" s="1316"/>
      <c r="L94" s="1094">
        <f>SUM(J94:K94)</f>
        <v>1780</v>
      </c>
    </row>
    <row r="95" spans="1:12" ht="18" customHeight="1" x14ac:dyDescent="0.3">
      <c r="A95" s="243">
        <v>85</v>
      </c>
      <c r="B95" s="244"/>
      <c r="C95" s="259">
        <v>8</v>
      </c>
      <c r="D95" s="584" t="s">
        <v>938</v>
      </c>
      <c r="E95" s="247"/>
      <c r="F95" s="255"/>
      <c r="G95" s="256"/>
      <c r="H95" s="257"/>
      <c r="I95" s="1086"/>
      <c r="J95" s="268"/>
      <c r="K95" s="1316">
        <v>5406</v>
      </c>
      <c r="L95" s="1094">
        <f>SUM(J95:K95)</f>
        <v>5406</v>
      </c>
    </row>
    <row r="96" spans="1:12" s="251" customFormat="1" ht="22.5" customHeight="1" x14ac:dyDescent="0.3">
      <c r="A96" s="243">
        <v>86</v>
      </c>
      <c r="B96" s="244">
        <v>11</v>
      </c>
      <c r="C96" s="262" t="s">
        <v>289</v>
      </c>
      <c r="D96" s="246"/>
      <c r="E96" s="247" t="s">
        <v>23</v>
      </c>
      <c r="F96" s="248">
        <v>80205</v>
      </c>
      <c r="G96" s="249">
        <v>15139</v>
      </c>
      <c r="H96" s="250">
        <v>6879</v>
      </c>
      <c r="I96" s="1085"/>
      <c r="J96" s="1431"/>
      <c r="K96" s="1090"/>
      <c r="L96" s="1093"/>
    </row>
    <row r="97" spans="1:12" s="251" customFormat="1" ht="29.25" customHeight="1" x14ac:dyDescent="0.3">
      <c r="A97" s="243">
        <v>87</v>
      </c>
      <c r="B97" s="244"/>
      <c r="C97" s="253">
        <v>1</v>
      </c>
      <c r="D97" s="254" t="s">
        <v>734</v>
      </c>
      <c r="E97" s="247"/>
      <c r="F97" s="248"/>
      <c r="G97" s="249"/>
      <c r="H97" s="250"/>
      <c r="I97" s="1085"/>
      <c r="J97" s="268">
        <v>1200</v>
      </c>
      <c r="K97" s="1316"/>
      <c r="L97" s="1094">
        <f>SUM(J97:K97)</f>
        <v>1200</v>
      </c>
    </row>
    <row r="98" spans="1:12" ht="18" customHeight="1" x14ac:dyDescent="0.3">
      <c r="A98" s="243">
        <v>88</v>
      </c>
      <c r="B98" s="244"/>
      <c r="C98" s="259">
        <v>19</v>
      </c>
      <c r="D98" s="254" t="s">
        <v>602</v>
      </c>
      <c r="E98" s="247"/>
      <c r="F98" s="248"/>
      <c r="G98" s="249"/>
      <c r="H98" s="250"/>
      <c r="I98" s="1086">
        <v>800</v>
      </c>
      <c r="J98" s="268">
        <v>800</v>
      </c>
      <c r="K98" s="1316"/>
      <c r="L98" s="1094">
        <f t="shared" ref="L98:L105" si="5">SUM(J98:K98)</f>
        <v>800</v>
      </c>
    </row>
    <row r="99" spans="1:12" ht="18" customHeight="1" x14ac:dyDescent="0.3">
      <c r="A99" s="243">
        <v>89</v>
      </c>
      <c r="B99" s="244"/>
      <c r="C99" s="259">
        <v>20</v>
      </c>
      <c r="D99" s="254" t="s">
        <v>603</v>
      </c>
      <c r="E99" s="247"/>
      <c r="F99" s="248"/>
      <c r="G99" s="249"/>
      <c r="H99" s="250"/>
      <c r="I99" s="1086">
        <v>500</v>
      </c>
      <c r="J99" s="268">
        <v>500</v>
      </c>
      <c r="K99" s="1316"/>
      <c r="L99" s="1094">
        <f t="shared" si="5"/>
        <v>500</v>
      </c>
    </row>
    <row r="100" spans="1:12" ht="30" customHeight="1" x14ac:dyDescent="0.3">
      <c r="A100" s="243">
        <v>90</v>
      </c>
      <c r="B100" s="244"/>
      <c r="C100" s="253">
        <v>21</v>
      </c>
      <c r="D100" s="254" t="s">
        <v>604</v>
      </c>
      <c r="E100" s="247"/>
      <c r="F100" s="248"/>
      <c r="G100" s="249"/>
      <c r="H100" s="250"/>
      <c r="I100" s="1086">
        <v>300</v>
      </c>
      <c r="J100" s="268">
        <v>300</v>
      </c>
      <c r="K100" s="1316"/>
      <c r="L100" s="1094">
        <f t="shared" si="5"/>
        <v>300</v>
      </c>
    </row>
    <row r="101" spans="1:12" ht="30" customHeight="1" x14ac:dyDescent="0.3">
      <c r="A101" s="243">
        <v>91</v>
      </c>
      <c r="B101" s="244"/>
      <c r="C101" s="253">
        <v>22</v>
      </c>
      <c r="D101" s="254" t="s">
        <v>605</v>
      </c>
      <c r="E101" s="247"/>
      <c r="F101" s="248"/>
      <c r="G101" s="249"/>
      <c r="H101" s="250"/>
      <c r="I101" s="1086">
        <v>500</v>
      </c>
      <c r="J101" s="268">
        <v>500</v>
      </c>
      <c r="K101" s="1316"/>
      <c r="L101" s="1094">
        <f t="shared" si="5"/>
        <v>500</v>
      </c>
    </row>
    <row r="102" spans="1:12" s="251" customFormat="1" ht="22.5" customHeight="1" x14ac:dyDescent="0.3">
      <c r="A102" s="243">
        <v>92</v>
      </c>
      <c r="B102" s="244">
        <v>12</v>
      </c>
      <c r="C102" s="262" t="s">
        <v>636</v>
      </c>
      <c r="D102" s="246"/>
      <c r="E102" s="247" t="s">
        <v>23</v>
      </c>
      <c r="F102" s="248">
        <v>30695</v>
      </c>
      <c r="G102" s="249">
        <v>3140</v>
      </c>
      <c r="H102" s="250"/>
      <c r="I102" s="1085"/>
      <c r="J102" s="1431"/>
      <c r="K102" s="1320"/>
      <c r="L102" s="1093"/>
    </row>
    <row r="103" spans="1:12" ht="30" x14ac:dyDescent="0.3">
      <c r="A103" s="243">
        <v>93</v>
      </c>
      <c r="B103" s="244"/>
      <c r="C103" s="253">
        <v>1</v>
      </c>
      <c r="D103" s="254" t="s">
        <v>364</v>
      </c>
      <c r="E103" s="247"/>
      <c r="F103" s="248">
        <v>15309</v>
      </c>
      <c r="G103" s="268">
        <v>11550</v>
      </c>
      <c r="H103" s="250">
        <v>15778</v>
      </c>
      <c r="I103" s="1086">
        <v>11550</v>
      </c>
      <c r="J103" s="268">
        <v>12550</v>
      </c>
      <c r="K103" s="1316"/>
      <c r="L103" s="1094">
        <f t="shared" si="5"/>
        <v>12550</v>
      </c>
    </row>
    <row r="104" spans="1:12" ht="28.5" customHeight="1" x14ac:dyDescent="0.3">
      <c r="A104" s="243">
        <v>94</v>
      </c>
      <c r="B104" s="244"/>
      <c r="C104" s="253">
        <v>2</v>
      </c>
      <c r="D104" s="254" t="s">
        <v>637</v>
      </c>
      <c r="E104" s="247"/>
      <c r="F104" s="248">
        <v>56284</v>
      </c>
      <c r="G104" s="268">
        <v>55030</v>
      </c>
      <c r="H104" s="250">
        <v>55319</v>
      </c>
      <c r="I104" s="1086">
        <v>55030</v>
      </c>
      <c r="J104" s="268">
        <v>55030</v>
      </c>
      <c r="K104" s="1316"/>
      <c r="L104" s="1094">
        <f t="shared" si="5"/>
        <v>55030</v>
      </c>
    </row>
    <row r="105" spans="1:12" ht="18" customHeight="1" x14ac:dyDescent="0.3">
      <c r="A105" s="243">
        <v>95</v>
      </c>
      <c r="B105" s="244"/>
      <c r="C105" s="259">
        <v>4</v>
      </c>
      <c r="D105" s="254" t="s">
        <v>853</v>
      </c>
      <c r="E105" s="247"/>
      <c r="F105" s="248"/>
      <c r="G105" s="249">
        <v>7461</v>
      </c>
      <c r="H105" s="250">
        <v>7555</v>
      </c>
      <c r="I105" s="1086">
        <v>2808</v>
      </c>
      <c r="J105" s="268">
        <v>2200</v>
      </c>
      <c r="K105" s="1316">
        <v>472</v>
      </c>
      <c r="L105" s="1094">
        <f t="shared" si="5"/>
        <v>2672</v>
      </c>
    </row>
    <row r="106" spans="1:12" ht="30" x14ac:dyDescent="0.3">
      <c r="A106" s="243">
        <v>96</v>
      </c>
      <c r="B106" s="244"/>
      <c r="C106" s="253">
        <v>10</v>
      </c>
      <c r="D106" s="254" t="s">
        <v>614</v>
      </c>
      <c r="E106" s="247"/>
      <c r="F106" s="248">
        <v>1244</v>
      </c>
      <c r="G106" s="249">
        <v>1200</v>
      </c>
      <c r="H106" s="250">
        <v>1260</v>
      </c>
      <c r="I106" s="1086">
        <v>1200</v>
      </c>
      <c r="J106" s="268">
        <v>1200</v>
      </c>
      <c r="K106" s="1316">
        <v>60</v>
      </c>
      <c r="L106" s="1094">
        <f>SUM(J106:K106)</f>
        <v>1260</v>
      </c>
    </row>
    <row r="107" spans="1:12" ht="30" x14ac:dyDescent="0.3">
      <c r="A107" s="243">
        <v>97</v>
      </c>
      <c r="B107" s="244"/>
      <c r="C107" s="253">
        <v>11</v>
      </c>
      <c r="D107" s="584" t="s">
        <v>674</v>
      </c>
      <c r="E107" s="247"/>
      <c r="F107" s="248"/>
      <c r="G107" s="249"/>
      <c r="H107" s="250">
        <v>613</v>
      </c>
      <c r="I107" s="1086"/>
      <c r="J107" s="268">
        <v>4875</v>
      </c>
      <c r="K107" s="1316"/>
      <c r="L107" s="1094">
        <f>SUM(J107:K107)</f>
        <v>4875</v>
      </c>
    </row>
    <row r="108" spans="1:12" ht="45" x14ac:dyDescent="0.3">
      <c r="A108" s="243">
        <v>98</v>
      </c>
      <c r="B108" s="244"/>
      <c r="C108" s="253">
        <v>12</v>
      </c>
      <c r="D108" s="584" t="s">
        <v>675</v>
      </c>
      <c r="E108" s="247"/>
      <c r="F108" s="248"/>
      <c r="G108" s="249"/>
      <c r="H108" s="250">
        <v>1755</v>
      </c>
      <c r="I108" s="1086"/>
      <c r="J108" s="268">
        <v>5895</v>
      </c>
      <c r="K108" s="1316">
        <v>1500</v>
      </c>
      <c r="L108" s="1094">
        <f>SUM(J108:K108)</f>
        <v>7395</v>
      </c>
    </row>
    <row r="109" spans="1:12" x14ac:dyDescent="0.3">
      <c r="A109" s="243">
        <v>99</v>
      </c>
      <c r="B109" s="244"/>
      <c r="C109" s="253">
        <v>14</v>
      </c>
      <c r="D109" s="584" t="s">
        <v>712</v>
      </c>
      <c r="E109" s="247"/>
      <c r="F109" s="248"/>
      <c r="G109" s="249"/>
      <c r="H109" s="250">
        <v>3373</v>
      </c>
      <c r="I109" s="1086"/>
      <c r="J109" s="268"/>
      <c r="K109" s="1316"/>
      <c r="L109" s="1094"/>
    </row>
    <row r="110" spans="1:12" x14ac:dyDescent="0.3">
      <c r="A110" s="243">
        <v>100</v>
      </c>
      <c r="B110" s="244"/>
      <c r="C110" s="253">
        <v>15</v>
      </c>
      <c r="D110" s="584" t="s">
        <v>676</v>
      </c>
      <c r="E110" s="247"/>
      <c r="F110" s="248"/>
      <c r="G110" s="249"/>
      <c r="H110" s="250"/>
      <c r="I110" s="1086"/>
      <c r="J110" s="268">
        <v>5230</v>
      </c>
      <c r="K110" s="1316">
        <v>-1500</v>
      </c>
      <c r="L110" s="1094">
        <f>SUM(J110:K110)</f>
        <v>3730</v>
      </c>
    </row>
    <row r="111" spans="1:12" ht="32.25" customHeight="1" x14ac:dyDescent="0.3">
      <c r="A111" s="243">
        <v>101</v>
      </c>
      <c r="B111" s="244"/>
      <c r="C111" s="253">
        <v>16</v>
      </c>
      <c r="D111" s="584" t="s">
        <v>719</v>
      </c>
      <c r="E111" s="247"/>
      <c r="F111" s="248"/>
      <c r="G111" s="249"/>
      <c r="H111" s="250"/>
      <c r="I111" s="1086"/>
      <c r="J111" s="268">
        <v>300</v>
      </c>
      <c r="K111" s="1316"/>
      <c r="L111" s="1094">
        <f>SUM(J111:K111)</f>
        <v>300</v>
      </c>
    </row>
    <row r="112" spans="1:12" ht="18" customHeight="1" x14ac:dyDescent="0.3">
      <c r="A112" s="243">
        <v>102</v>
      </c>
      <c r="B112" s="244"/>
      <c r="C112" s="253">
        <v>17</v>
      </c>
      <c r="D112" s="584" t="s">
        <v>929</v>
      </c>
      <c r="E112" s="247"/>
      <c r="F112" s="248"/>
      <c r="G112" s="249"/>
      <c r="H112" s="250"/>
      <c r="I112" s="1086"/>
      <c r="J112" s="268"/>
      <c r="K112" s="1316">
        <v>168</v>
      </c>
      <c r="L112" s="1094">
        <f>SUM(J112:K112)</f>
        <v>168</v>
      </c>
    </row>
    <row r="113" spans="1:12" ht="30.75" customHeight="1" x14ac:dyDescent="0.3">
      <c r="A113" s="243">
        <v>103</v>
      </c>
      <c r="B113" s="244"/>
      <c r="C113" s="253">
        <v>18</v>
      </c>
      <c r="D113" s="584" t="s">
        <v>1101</v>
      </c>
      <c r="E113" s="247"/>
      <c r="F113" s="248"/>
      <c r="G113" s="249"/>
      <c r="H113" s="250"/>
      <c r="I113" s="1086"/>
      <c r="J113" s="268"/>
      <c r="K113" s="1316">
        <v>150</v>
      </c>
      <c r="L113" s="1094">
        <f>SUM(J113:K113)</f>
        <v>150</v>
      </c>
    </row>
    <row r="114" spans="1:12" s="251" customFormat="1" ht="22.5" customHeight="1" x14ac:dyDescent="0.3">
      <c r="A114" s="243">
        <v>104</v>
      </c>
      <c r="B114" s="244">
        <v>13</v>
      </c>
      <c r="C114" s="262" t="s">
        <v>30</v>
      </c>
      <c r="D114" s="246"/>
      <c r="E114" s="247" t="s">
        <v>23</v>
      </c>
      <c r="F114" s="248">
        <v>57065</v>
      </c>
      <c r="G114" s="249">
        <v>127833</v>
      </c>
      <c r="H114" s="250">
        <v>147101</v>
      </c>
      <c r="I114" s="1085"/>
      <c r="J114" s="1431"/>
      <c r="K114" s="1320"/>
      <c r="L114" s="1094"/>
    </row>
    <row r="115" spans="1:12" ht="18" customHeight="1" x14ac:dyDescent="0.3">
      <c r="A115" s="243">
        <v>105</v>
      </c>
      <c r="B115" s="244"/>
      <c r="C115" s="259">
        <v>3</v>
      </c>
      <c r="D115" s="254" t="s">
        <v>480</v>
      </c>
      <c r="E115" s="247"/>
      <c r="F115" s="248"/>
      <c r="G115" s="249"/>
      <c r="H115" s="250"/>
      <c r="I115" s="1086">
        <v>5000</v>
      </c>
      <c r="J115" s="268">
        <v>6000</v>
      </c>
      <c r="K115" s="1316"/>
      <c r="L115" s="1094">
        <f t="shared" ref="L115:L117" si="6">SUM(J115:K115)</f>
        <v>6000</v>
      </c>
    </row>
    <row r="116" spans="1:12" ht="18" customHeight="1" x14ac:dyDescent="0.3">
      <c r="A116" s="243">
        <v>106</v>
      </c>
      <c r="B116" s="244"/>
      <c r="C116" s="259">
        <v>8</v>
      </c>
      <c r="D116" s="254" t="s">
        <v>481</v>
      </c>
      <c r="E116" s="247"/>
      <c r="F116" s="248"/>
      <c r="G116" s="249"/>
      <c r="H116" s="250"/>
      <c r="I116" s="1086">
        <v>2400</v>
      </c>
      <c r="J116" s="268">
        <v>3400</v>
      </c>
      <c r="K116" s="1316"/>
      <c r="L116" s="1094">
        <f t="shared" si="6"/>
        <v>3400</v>
      </c>
    </row>
    <row r="117" spans="1:12" ht="18" customHeight="1" x14ac:dyDescent="0.3">
      <c r="A117" s="243">
        <v>107</v>
      </c>
      <c r="B117" s="244"/>
      <c r="C117" s="259">
        <v>41</v>
      </c>
      <c r="D117" s="584" t="s">
        <v>677</v>
      </c>
      <c r="E117" s="247"/>
      <c r="F117" s="248"/>
      <c r="G117" s="249"/>
      <c r="H117" s="250"/>
      <c r="I117" s="1086"/>
      <c r="J117" s="268">
        <v>4000</v>
      </c>
      <c r="K117" s="1316"/>
      <c r="L117" s="1094">
        <f t="shared" si="6"/>
        <v>4000</v>
      </c>
    </row>
    <row r="118" spans="1:12" ht="18" customHeight="1" x14ac:dyDescent="0.3">
      <c r="A118" s="243">
        <v>108</v>
      </c>
      <c r="B118" s="244"/>
      <c r="C118" s="259">
        <v>42</v>
      </c>
      <c r="D118" s="584" t="s">
        <v>678</v>
      </c>
      <c r="E118" s="247"/>
      <c r="F118" s="248"/>
      <c r="G118" s="249"/>
      <c r="H118" s="250"/>
      <c r="I118" s="1086"/>
      <c r="J118" s="268">
        <v>2540</v>
      </c>
      <c r="K118" s="1316">
        <v>-2540</v>
      </c>
      <c r="L118" s="1094">
        <f>SUM(J118:K118)</f>
        <v>0</v>
      </c>
    </row>
    <row r="119" spans="1:12" ht="18" customHeight="1" x14ac:dyDescent="0.3">
      <c r="A119" s="243">
        <v>109</v>
      </c>
      <c r="B119" s="244"/>
      <c r="C119" s="259">
        <v>43</v>
      </c>
      <c r="D119" s="584" t="s">
        <v>988</v>
      </c>
      <c r="E119" s="247"/>
      <c r="F119" s="248"/>
      <c r="G119" s="249"/>
      <c r="H119" s="250"/>
      <c r="I119" s="1086"/>
      <c r="J119" s="268"/>
      <c r="K119" s="1316">
        <v>2540</v>
      </c>
      <c r="L119" s="1094">
        <f>SUM(J119:K119)</f>
        <v>2540</v>
      </c>
    </row>
    <row r="120" spans="1:12" s="251" customFormat="1" ht="22.5" customHeight="1" x14ac:dyDescent="0.3">
      <c r="A120" s="243">
        <v>110</v>
      </c>
      <c r="B120" s="244">
        <v>14</v>
      </c>
      <c r="C120" s="262" t="s">
        <v>290</v>
      </c>
      <c r="D120" s="246"/>
      <c r="E120" s="247" t="s">
        <v>24</v>
      </c>
      <c r="F120" s="248">
        <v>18752</v>
      </c>
      <c r="G120" s="249">
        <v>1610</v>
      </c>
      <c r="H120" s="250">
        <v>35373</v>
      </c>
      <c r="I120" s="1085"/>
      <c r="J120" s="1431"/>
      <c r="K120" s="1320"/>
      <c r="L120" s="1094"/>
    </row>
    <row r="121" spans="1:12" ht="18" customHeight="1" x14ac:dyDescent="0.3">
      <c r="A121" s="243">
        <v>111</v>
      </c>
      <c r="B121" s="244"/>
      <c r="C121" s="259">
        <v>1</v>
      </c>
      <c r="D121" s="254" t="s">
        <v>600</v>
      </c>
      <c r="E121" s="247"/>
      <c r="F121" s="248"/>
      <c r="G121" s="249"/>
      <c r="H121" s="250"/>
      <c r="I121" s="1086">
        <v>600</v>
      </c>
      <c r="J121" s="268">
        <v>600</v>
      </c>
      <c r="K121" s="1089">
        <v>-292</v>
      </c>
      <c r="L121" s="1094">
        <f t="shared" ref="L121:L125" si="7">SUM(J121:K121)</f>
        <v>308</v>
      </c>
    </row>
    <row r="122" spans="1:12" ht="63" customHeight="1" x14ac:dyDescent="0.3">
      <c r="A122" s="243">
        <v>112</v>
      </c>
      <c r="B122" s="244"/>
      <c r="C122" s="253">
        <v>2</v>
      </c>
      <c r="D122" s="254" t="s">
        <v>824</v>
      </c>
      <c r="E122" s="247"/>
      <c r="F122" s="248"/>
      <c r="G122" s="249"/>
      <c r="H122" s="250"/>
      <c r="I122" s="1086"/>
      <c r="J122" s="268">
        <v>1520</v>
      </c>
      <c r="K122" s="1486">
        <v>2476</v>
      </c>
      <c r="L122" s="1094">
        <f t="shared" si="7"/>
        <v>3996</v>
      </c>
    </row>
    <row r="123" spans="1:12" ht="18" customHeight="1" x14ac:dyDescent="0.3">
      <c r="A123" s="243">
        <v>113</v>
      </c>
      <c r="B123" s="244"/>
      <c r="C123" s="259">
        <v>11</v>
      </c>
      <c r="D123" s="254" t="s">
        <v>606</v>
      </c>
      <c r="E123" s="247"/>
      <c r="F123" s="248"/>
      <c r="G123" s="249"/>
      <c r="H123" s="250"/>
      <c r="I123" s="1086">
        <v>14484</v>
      </c>
      <c r="J123" s="268">
        <v>14182</v>
      </c>
      <c r="K123" s="1089"/>
      <c r="L123" s="1094">
        <f t="shared" si="7"/>
        <v>14182</v>
      </c>
    </row>
    <row r="124" spans="1:12" ht="18" customHeight="1" x14ac:dyDescent="0.3">
      <c r="A124" s="243">
        <v>114</v>
      </c>
      <c r="B124" s="244"/>
      <c r="C124" s="259">
        <v>12</v>
      </c>
      <c r="D124" s="254" t="s">
        <v>607</v>
      </c>
      <c r="E124" s="247"/>
      <c r="F124" s="248"/>
      <c r="G124" s="249"/>
      <c r="H124" s="250"/>
      <c r="I124" s="1086">
        <v>750</v>
      </c>
      <c r="J124" s="268">
        <v>732</v>
      </c>
      <c r="K124" s="1089"/>
      <c r="L124" s="1094">
        <f t="shared" si="7"/>
        <v>732</v>
      </c>
    </row>
    <row r="125" spans="1:12" ht="18" customHeight="1" x14ac:dyDescent="0.3">
      <c r="A125" s="243">
        <v>115</v>
      </c>
      <c r="B125" s="244"/>
      <c r="C125" s="259">
        <v>13</v>
      </c>
      <c r="D125" s="584" t="s">
        <v>680</v>
      </c>
      <c r="E125" s="247"/>
      <c r="F125" s="248"/>
      <c r="G125" s="249"/>
      <c r="H125" s="250"/>
      <c r="I125" s="1086"/>
      <c r="J125" s="268">
        <v>7000</v>
      </c>
      <c r="K125" s="1316">
        <v>-500</v>
      </c>
      <c r="L125" s="1094">
        <f t="shared" si="7"/>
        <v>6500</v>
      </c>
    </row>
    <row r="126" spans="1:12" ht="18" customHeight="1" x14ac:dyDescent="0.3">
      <c r="A126" s="243">
        <v>116</v>
      </c>
      <c r="B126" s="244"/>
      <c r="C126" s="259">
        <v>14</v>
      </c>
      <c r="D126" s="584" t="s">
        <v>679</v>
      </c>
      <c r="E126" s="247"/>
      <c r="F126" s="248"/>
      <c r="G126" s="249"/>
      <c r="H126" s="250"/>
      <c r="I126" s="1086"/>
      <c r="J126" s="268">
        <v>2200</v>
      </c>
      <c r="K126" s="1486">
        <v>-28</v>
      </c>
      <c r="L126" s="1094">
        <f>SUM(J126:K126)</f>
        <v>2172</v>
      </c>
    </row>
    <row r="127" spans="1:12" ht="18" customHeight="1" x14ac:dyDescent="0.3">
      <c r="A127" s="243">
        <v>117</v>
      </c>
      <c r="B127" s="244"/>
      <c r="C127" s="259">
        <v>15</v>
      </c>
      <c r="D127" s="584" t="s">
        <v>1036</v>
      </c>
      <c r="E127" s="247"/>
      <c r="F127" s="248"/>
      <c r="G127" s="249"/>
      <c r="H127" s="250"/>
      <c r="I127" s="1086"/>
      <c r="J127" s="268"/>
      <c r="K127" s="1486">
        <v>7000</v>
      </c>
      <c r="L127" s="1094">
        <f>SUM(J127:K127)</f>
        <v>7000</v>
      </c>
    </row>
    <row r="128" spans="1:12" ht="18" customHeight="1" x14ac:dyDescent="0.3">
      <c r="A128" s="243">
        <v>118</v>
      </c>
      <c r="B128" s="244"/>
      <c r="C128" s="259">
        <v>16</v>
      </c>
      <c r="D128" s="584" t="s">
        <v>1037</v>
      </c>
      <c r="E128" s="247"/>
      <c r="F128" s="248"/>
      <c r="G128" s="249"/>
      <c r="H128" s="250"/>
      <c r="I128" s="1086"/>
      <c r="J128" s="268"/>
      <c r="K128" s="1486">
        <v>344</v>
      </c>
      <c r="L128" s="1094">
        <f>SUM(J128:K128)</f>
        <v>344</v>
      </c>
    </row>
    <row r="129" spans="1:12" s="251" customFormat="1" ht="22.5" customHeight="1" x14ac:dyDescent="0.3">
      <c r="A129" s="243">
        <v>119</v>
      </c>
      <c r="B129" s="244">
        <v>15</v>
      </c>
      <c r="C129" s="262" t="s">
        <v>119</v>
      </c>
      <c r="D129" s="246"/>
      <c r="E129" s="247" t="s">
        <v>24</v>
      </c>
      <c r="F129" s="248">
        <v>85619</v>
      </c>
      <c r="G129" s="249">
        <v>4000</v>
      </c>
      <c r="H129" s="250">
        <v>44997</v>
      </c>
      <c r="I129" s="1085"/>
      <c r="J129" s="1431"/>
      <c r="K129" s="1090"/>
      <c r="L129" s="1094"/>
    </row>
    <row r="130" spans="1:12" ht="94.5" customHeight="1" x14ac:dyDescent="0.3">
      <c r="A130" s="243">
        <v>120</v>
      </c>
      <c r="B130" s="244"/>
      <c r="C130" s="253">
        <v>1</v>
      </c>
      <c r="D130" s="254" t="s">
        <v>729</v>
      </c>
      <c r="E130" s="247"/>
      <c r="F130" s="248"/>
      <c r="G130" s="249"/>
      <c r="H130" s="250"/>
      <c r="I130" s="1086">
        <v>4352</v>
      </c>
      <c r="J130" s="268">
        <v>8732</v>
      </c>
      <c r="K130" s="1316"/>
      <c r="L130" s="1094">
        <f t="shared" ref="L130:L137" si="8">SUM(J130:K130)</f>
        <v>8732</v>
      </c>
    </row>
    <row r="131" spans="1:12" ht="18" customHeight="1" x14ac:dyDescent="0.3">
      <c r="A131" s="243">
        <v>121</v>
      </c>
      <c r="B131" s="244"/>
      <c r="C131" s="271">
        <v>9</v>
      </c>
      <c r="D131" s="584" t="s">
        <v>685</v>
      </c>
      <c r="E131" s="247"/>
      <c r="F131" s="248"/>
      <c r="G131" s="249"/>
      <c r="H131" s="250"/>
      <c r="I131" s="1086"/>
      <c r="J131" s="268">
        <v>2520</v>
      </c>
      <c r="K131" s="1316"/>
      <c r="L131" s="1094">
        <f t="shared" si="8"/>
        <v>2520</v>
      </c>
    </row>
    <row r="132" spans="1:12" ht="18" customHeight="1" x14ac:dyDescent="0.3">
      <c r="A132" s="243">
        <v>122</v>
      </c>
      <c r="B132" s="244"/>
      <c r="C132" s="271">
        <v>10</v>
      </c>
      <c r="D132" s="584" t="s">
        <v>686</v>
      </c>
      <c r="E132" s="247"/>
      <c r="F132" s="248"/>
      <c r="G132" s="249"/>
      <c r="H132" s="250"/>
      <c r="I132" s="1086"/>
      <c r="J132" s="268">
        <v>1200</v>
      </c>
      <c r="K132" s="1316"/>
      <c r="L132" s="1094">
        <f t="shared" si="8"/>
        <v>1200</v>
      </c>
    </row>
    <row r="133" spans="1:12" ht="18" customHeight="1" x14ac:dyDescent="0.3">
      <c r="A133" s="243">
        <v>123</v>
      </c>
      <c r="B133" s="244"/>
      <c r="C133" s="271">
        <v>11</v>
      </c>
      <c r="D133" s="584" t="s">
        <v>687</v>
      </c>
      <c r="E133" s="247"/>
      <c r="F133" s="248"/>
      <c r="G133" s="249"/>
      <c r="H133" s="250"/>
      <c r="I133" s="1086"/>
      <c r="J133" s="268">
        <v>900</v>
      </c>
      <c r="K133" s="1316"/>
      <c r="L133" s="1094">
        <f t="shared" si="8"/>
        <v>900</v>
      </c>
    </row>
    <row r="134" spans="1:12" ht="29.25" customHeight="1" x14ac:dyDescent="0.3">
      <c r="A134" s="243">
        <v>124</v>
      </c>
      <c r="B134" s="244"/>
      <c r="C134" s="1322">
        <v>12</v>
      </c>
      <c r="D134" s="584" t="s">
        <v>1083</v>
      </c>
      <c r="E134" s="247"/>
      <c r="F134" s="248"/>
      <c r="G134" s="249"/>
      <c r="H134" s="250"/>
      <c r="I134" s="1086"/>
      <c r="J134" s="268"/>
      <c r="K134" s="1316">
        <v>5000</v>
      </c>
      <c r="L134" s="1094">
        <f t="shared" si="8"/>
        <v>5000</v>
      </c>
    </row>
    <row r="135" spans="1:12" ht="18" customHeight="1" x14ac:dyDescent="0.3">
      <c r="A135" s="243">
        <v>125</v>
      </c>
      <c r="B135" s="244"/>
      <c r="C135" s="1322">
        <v>13</v>
      </c>
      <c r="D135" s="584" t="s">
        <v>1130</v>
      </c>
      <c r="E135" s="247"/>
      <c r="F135" s="248"/>
      <c r="G135" s="249"/>
      <c r="H135" s="250"/>
      <c r="I135" s="1086"/>
      <c r="J135" s="268"/>
      <c r="K135" s="1316">
        <v>33000</v>
      </c>
      <c r="L135" s="1094">
        <f t="shared" si="8"/>
        <v>33000</v>
      </c>
    </row>
    <row r="136" spans="1:12" s="251" customFormat="1" ht="22.5" customHeight="1" x14ac:dyDescent="0.3">
      <c r="A136" s="243">
        <v>126</v>
      </c>
      <c r="B136" s="244">
        <v>16</v>
      </c>
      <c r="C136" s="269" t="s">
        <v>220</v>
      </c>
      <c r="D136" s="246"/>
      <c r="E136" s="247" t="s">
        <v>23</v>
      </c>
      <c r="F136" s="248">
        <v>1541</v>
      </c>
      <c r="G136" s="249">
        <v>7000</v>
      </c>
      <c r="H136" s="250">
        <v>8269</v>
      </c>
      <c r="I136" s="1085"/>
      <c r="J136" s="1431"/>
      <c r="K136" s="1090"/>
      <c r="L136" s="1094"/>
    </row>
    <row r="137" spans="1:12" ht="18" customHeight="1" thickBot="1" x14ac:dyDescent="0.35">
      <c r="A137" s="243">
        <v>127</v>
      </c>
      <c r="B137" s="244"/>
      <c r="C137" s="259">
        <v>1</v>
      </c>
      <c r="D137" s="254" t="s">
        <v>608</v>
      </c>
      <c r="E137" s="247"/>
      <c r="F137" s="248"/>
      <c r="G137" s="249"/>
      <c r="H137" s="250"/>
      <c r="I137" s="1086">
        <v>11103</v>
      </c>
      <c r="J137" s="268">
        <v>16103</v>
      </c>
      <c r="K137" s="1316"/>
      <c r="L137" s="1094">
        <f t="shared" si="8"/>
        <v>16103</v>
      </c>
    </row>
    <row r="138" spans="1:12" s="506" customFormat="1" ht="36" customHeight="1" thickTop="1" thickBot="1" x14ac:dyDescent="0.25">
      <c r="A138" s="243">
        <v>128</v>
      </c>
      <c r="B138" s="1932" t="s">
        <v>319</v>
      </c>
      <c r="C138" s="1933"/>
      <c r="D138" s="1934"/>
      <c r="E138" s="502"/>
      <c r="F138" s="503">
        <f>SUM(F11:F136)</f>
        <v>450244</v>
      </c>
      <c r="G138" s="504">
        <f>SUM(G11:G136)</f>
        <v>276474</v>
      </c>
      <c r="H138" s="505">
        <f>SUM(H11:H136)</f>
        <v>431784</v>
      </c>
      <c r="I138" s="1087">
        <f>SUM(I11:I137)</f>
        <v>116747</v>
      </c>
      <c r="J138" s="1432">
        <f>SUM(J11:J137)</f>
        <v>230843</v>
      </c>
      <c r="K138" s="1401">
        <f>SUM(K11:K137)</f>
        <v>58807</v>
      </c>
      <c r="L138" s="1095">
        <f>SUM(L11:L137)</f>
        <v>289650</v>
      </c>
    </row>
    <row r="139" spans="1:12" s="251" customFormat="1" ht="22.5" customHeight="1" x14ac:dyDescent="0.3">
      <c r="A139" s="243">
        <v>129</v>
      </c>
      <c r="B139" s="244">
        <v>17</v>
      </c>
      <c r="C139" s="270" t="s">
        <v>158</v>
      </c>
      <c r="D139" s="246"/>
      <c r="E139" s="247" t="s">
        <v>23</v>
      </c>
      <c r="F139" s="248"/>
      <c r="G139" s="249">
        <v>4550</v>
      </c>
      <c r="H139" s="250">
        <v>4293</v>
      </c>
      <c r="I139" s="1085"/>
      <c r="J139" s="1431"/>
      <c r="K139" s="1090"/>
      <c r="L139" s="1093"/>
    </row>
    <row r="140" spans="1:12" s="251" customFormat="1" ht="22.5" customHeight="1" x14ac:dyDescent="0.3">
      <c r="A140" s="243">
        <v>130</v>
      </c>
      <c r="B140" s="244"/>
      <c r="C140" s="263"/>
      <c r="D140" s="246" t="s">
        <v>128</v>
      </c>
      <c r="E140" s="247"/>
      <c r="F140" s="248">
        <v>2872</v>
      </c>
      <c r="G140" s="249">
        <v>15000</v>
      </c>
      <c r="H140" s="250">
        <v>3038</v>
      </c>
      <c r="I140" s="1085"/>
      <c r="J140" s="1431"/>
      <c r="K140" s="1090"/>
      <c r="L140" s="1093"/>
    </row>
    <row r="141" spans="1:12" ht="18" customHeight="1" x14ac:dyDescent="0.3">
      <c r="A141" s="243">
        <v>131</v>
      </c>
      <c r="B141" s="244"/>
      <c r="C141" s="271">
        <v>3</v>
      </c>
      <c r="D141" s="254" t="s">
        <v>365</v>
      </c>
      <c r="E141" s="247"/>
      <c r="F141" s="255"/>
      <c r="G141" s="256">
        <v>29000</v>
      </c>
      <c r="H141" s="257"/>
      <c r="I141" s="1086">
        <v>29000</v>
      </c>
      <c r="J141" s="268">
        <v>29000</v>
      </c>
      <c r="K141" s="1089"/>
      <c r="L141" s="1094">
        <f>SUM(J141:K141)</f>
        <v>29000</v>
      </c>
    </row>
    <row r="142" spans="1:12" ht="18" customHeight="1" x14ac:dyDescent="0.3">
      <c r="A142" s="243">
        <v>132</v>
      </c>
      <c r="B142" s="244"/>
      <c r="C142" s="271">
        <v>5</v>
      </c>
      <c r="D142" s="254" t="s">
        <v>482</v>
      </c>
      <c r="E142" s="247"/>
      <c r="F142" s="255"/>
      <c r="G142" s="256">
        <v>1000</v>
      </c>
      <c r="H142" s="257"/>
      <c r="I142" s="1086">
        <v>1000</v>
      </c>
      <c r="J142" s="268">
        <v>1000</v>
      </c>
      <c r="K142" s="1089"/>
      <c r="L142" s="1094">
        <f t="shared" ref="L142:L151" si="9">SUM(J142:K142)</f>
        <v>1000</v>
      </c>
    </row>
    <row r="143" spans="1:12" ht="18" customHeight="1" x14ac:dyDescent="0.3">
      <c r="A143" s="243">
        <v>133</v>
      </c>
      <c r="B143" s="244"/>
      <c r="C143" s="271">
        <v>10</v>
      </c>
      <c r="D143" s="254" t="s">
        <v>366</v>
      </c>
      <c r="E143" s="247"/>
      <c r="F143" s="255">
        <v>228</v>
      </c>
      <c r="G143" s="256">
        <v>800</v>
      </c>
      <c r="H143" s="257">
        <v>330</v>
      </c>
      <c r="I143" s="1086">
        <v>800</v>
      </c>
      <c r="J143" s="268">
        <v>800</v>
      </c>
      <c r="K143" s="1089"/>
      <c r="L143" s="1094">
        <f t="shared" si="9"/>
        <v>800</v>
      </c>
    </row>
    <row r="144" spans="1:12" ht="18" customHeight="1" x14ac:dyDescent="0.3">
      <c r="A144" s="243">
        <v>134</v>
      </c>
      <c r="B144" s="244"/>
      <c r="C144" s="271">
        <v>11</v>
      </c>
      <c r="D144" s="254" t="s">
        <v>609</v>
      </c>
      <c r="E144" s="247"/>
      <c r="F144" s="255">
        <v>704</v>
      </c>
      <c r="G144" s="256">
        <v>3500</v>
      </c>
      <c r="H144" s="257">
        <v>4155</v>
      </c>
      <c r="I144" s="1086">
        <v>11247</v>
      </c>
      <c r="J144" s="268">
        <v>16247</v>
      </c>
      <c r="K144" s="1316"/>
      <c r="L144" s="1094">
        <f t="shared" si="9"/>
        <v>16247</v>
      </c>
    </row>
    <row r="145" spans="1:248" ht="18" customHeight="1" x14ac:dyDescent="0.3">
      <c r="A145" s="243">
        <v>135</v>
      </c>
      <c r="B145" s="244"/>
      <c r="C145" s="271">
        <v>12</v>
      </c>
      <c r="D145" s="254" t="s">
        <v>392</v>
      </c>
      <c r="E145" s="247"/>
      <c r="F145" s="255">
        <v>790</v>
      </c>
      <c r="G145" s="256">
        <v>8500</v>
      </c>
      <c r="H145" s="257">
        <v>1835</v>
      </c>
      <c r="I145" s="1086">
        <v>10000</v>
      </c>
      <c r="J145" s="268">
        <v>79317</v>
      </c>
      <c r="K145" s="1316"/>
      <c r="L145" s="1094">
        <f t="shared" si="9"/>
        <v>79317</v>
      </c>
    </row>
    <row r="146" spans="1:248" ht="18" customHeight="1" x14ac:dyDescent="0.3">
      <c r="A146" s="243">
        <v>136</v>
      </c>
      <c r="B146" s="244"/>
      <c r="C146" s="271">
        <v>13</v>
      </c>
      <c r="D146" s="254" t="s">
        <v>384</v>
      </c>
      <c r="E146" s="247"/>
      <c r="F146" s="255">
        <v>2334</v>
      </c>
      <c r="G146" s="256"/>
      <c r="H146" s="257">
        <v>3028</v>
      </c>
      <c r="I146" s="1086">
        <v>4000</v>
      </c>
      <c r="J146" s="268">
        <v>4000</v>
      </c>
      <c r="K146" s="1089"/>
      <c r="L146" s="1094">
        <f t="shared" si="9"/>
        <v>4000</v>
      </c>
    </row>
    <row r="147" spans="1:248" ht="18" customHeight="1" x14ac:dyDescent="0.3">
      <c r="A147" s="243">
        <v>137</v>
      </c>
      <c r="B147" s="244"/>
      <c r="C147" s="271">
        <v>17</v>
      </c>
      <c r="D147" s="254" t="s">
        <v>483</v>
      </c>
      <c r="E147" s="247"/>
      <c r="F147" s="255"/>
      <c r="G147" s="256">
        <v>10000</v>
      </c>
      <c r="H147" s="257"/>
      <c r="I147" s="1086">
        <v>10000</v>
      </c>
      <c r="J147" s="268">
        <v>0</v>
      </c>
      <c r="K147" s="1316"/>
      <c r="L147" s="1094">
        <f t="shared" si="9"/>
        <v>0</v>
      </c>
    </row>
    <row r="148" spans="1:248" ht="18" customHeight="1" x14ac:dyDescent="0.3">
      <c r="A148" s="243">
        <v>138</v>
      </c>
      <c r="B148" s="244"/>
      <c r="C148" s="271">
        <v>20</v>
      </c>
      <c r="D148" s="254" t="s">
        <v>610</v>
      </c>
      <c r="E148" s="247"/>
      <c r="F148" s="255"/>
      <c r="G148" s="256"/>
      <c r="H148" s="257"/>
      <c r="I148" s="1086">
        <v>18923</v>
      </c>
      <c r="J148" s="268">
        <v>18923</v>
      </c>
      <c r="K148" s="1089"/>
      <c r="L148" s="1094">
        <f t="shared" si="9"/>
        <v>18923</v>
      </c>
    </row>
    <row r="149" spans="1:248" ht="18" customHeight="1" x14ac:dyDescent="0.3">
      <c r="A149" s="243">
        <v>139</v>
      </c>
      <c r="B149" s="244"/>
      <c r="C149" s="271">
        <v>21</v>
      </c>
      <c r="D149" s="254" t="s">
        <v>611</v>
      </c>
      <c r="E149" s="247"/>
      <c r="F149" s="255"/>
      <c r="G149" s="256"/>
      <c r="H149" s="257"/>
      <c r="I149" s="1086">
        <v>21077</v>
      </c>
      <c r="J149" s="268">
        <v>21077</v>
      </c>
      <c r="K149" s="1089"/>
      <c r="L149" s="1094">
        <f t="shared" si="9"/>
        <v>21077</v>
      </c>
    </row>
    <row r="150" spans="1:248" ht="22.5" customHeight="1" x14ac:dyDescent="0.3">
      <c r="A150" s="243">
        <v>140</v>
      </c>
      <c r="B150" s="244"/>
      <c r="C150" s="271"/>
      <c r="D150" s="246" t="s">
        <v>340</v>
      </c>
      <c r="E150" s="247"/>
      <c r="F150" s="255">
        <v>3375</v>
      </c>
      <c r="G150" s="256">
        <v>25800</v>
      </c>
      <c r="H150" s="257">
        <v>18417</v>
      </c>
      <c r="I150" s="1086"/>
      <c r="J150" s="268"/>
      <c r="K150" s="1089"/>
      <c r="L150" s="1094"/>
    </row>
    <row r="151" spans="1:248" ht="18" customHeight="1" thickBot="1" x14ac:dyDescent="0.35">
      <c r="A151" s="243">
        <v>141</v>
      </c>
      <c r="B151" s="244"/>
      <c r="C151" s="247">
        <v>15</v>
      </c>
      <c r="D151" s="254" t="s">
        <v>31</v>
      </c>
      <c r="E151" s="247"/>
      <c r="F151" s="255"/>
      <c r="G151" s="256"/>
      <c r="H151" s="257"/>
      <c r="I151" s="1086">
        <v>24900</v>
      </c>
      <c r="J151" s="268">
        <v>50283</v>
      </c>
      <c r="K151" s="1316"/>
      <c r="L151" s="1094">
        <f t="shared" si="9"/>
        <v>50283</v>
      </c>
    </row>
    <row r="152" spans="1:248" s="506" customFormat="1" ht="36" customHeight="1" thickTop="1" thickBot="1" x14ac:dyDescent="0.25">
      <c r="A152" s="243">
        <v>142</v>
      </c>
      <c r="B152" s="1932" t="s">
        <v>320</v>
      </c>
      <c r="C152" s="1933"/>
      <c r="D152" s="1934"/>
      <c r="E152" s="502"/>
      <c r="F152" s="503">
        <f>SUM(F139:F151)</f>
        <v>10303</v>
      </c>
      <c r="G152" s="504">
        <f>SUM(G139:G151)</f>
        <v>98150</v>
      </c>
      <c r="H152" s="505">
        <f>SUM(H139:H151)</f>
        <v>35096</v>
      </c>
      <c r="I152" s="1087">
        <f>SUM(I139:I151)</f>
        <v>130947</v>
      </c>
      <c r="J152" s="1432">
        <f t="shared" ref="J152:L152" si="10">SUM(J139:J151)</f>
        <v>220647</v>
      </c>
      <c r="K152" s="1401">
        <f t="shared" si="10"/>
        <v>0</v>
      </c>
      <c r="L152" s="1095">
        <f t="shared" si="10"/>
        <v>220647</v>
      </c>
    </row>
    <row r="153" spans="1:248" s="506" customFormat="1" ht="36" customHeight="1" thickBot="1" x14ac:dyDescent="0.25">
      <c r="A153" s="243">
        <v>143</v>
      </c>
      <c r="B153" s="1919" t="s">
        <v>321</v>
      </c>
      <c r="C153" s="1920"/>
      <c r="D153" s="1925"/>
      <c r="E153" s="507"/>
      <c r="F153" s="508">
        <f>SUM(F152,F138)</f>
        <v>460547</v>
      </c>
      <c r="G153" s="509">
        <f>SUM(G152,G138)</f>
        <v>374624</v>
      </c>
      <c r="H153" s="510">
        <f>SUM(H152,H138)</f>
        <v>466880</v>
      </c>
      <c r="I153" s="1088">
        <f>SUM(I152,I138)</f>
        <v>247694</v>
      </c>
      <c r="J153" s="1433">
        <f t="shared" ref="J153:L153" si="11">SUM(J152,J138)</f>
        <v>451490</v>
      </c>
      <c r="K153" s="1402">
        <f t="shared" si="11"/>
        <v>58807</v>
      </c>
      <c r="L153" s="1096">
        <f t="shared" si="11"/>
        <v>510297</v>
      </c>
    </row>
    <row r="154" spans="1:248" s="506" customFormat="1" ht="20.100000000000001" customHeight="1" x14ac:dyDescent="0.3">
      <c r="A154" s="243">
        <v>144</v>
      </c>
      <c r="B154" s="1529"/>
      <c r="C154" s="1496" t="s">
        <v>843</v>
      </c>
      <c r="D154" s="1505"/>
      <c r="E154" s="1505"/>
      <c r="F154" s="1506"/>
      <c r="G154" s="1507"/>
      <c r="H154" s="1516"/>
      <c r="I154" s="1514"/>
      <c r="J154" s="1508"/>
      <c r="K154" s="1509"/>
      <c r="L154" s="1530"/>
    </row>
    <row r="155" spans="1:248" s="506" customFormat="1" ht="20.100000000000001" customHeight="1" x14ac:dyDescent="0.3">
      <c r="A155" s="243">
        <v>145</v>
      </c>
      <c r="B155" s="244">
        <v>9</v>
      </c>
      <c r="C155" s="262" t="s">
        <v>292</v>
      </c>
      <c r="D155" s="246"/>
      <c r="E155" s="1518" t="s">
        <v>23</v>
      </c>
      <c r="F155" s="1510"/>
      <c r="G155" s="1511"/>
      <c r="H155" s="1517"/>
      <c r="I155" s="1515"/>
      <c r="J155" s="1512"/>
      <c r="K155" s="1513"/>
      <c r="L155" s="1531"/>
    </row>
    <row r="156" spans="1:248" s="506" customFormat="1" ht="20.100000000000001" customHeight="1" thickBot="1" x14ac:dyDescent="0.35">
      <c r="A156" s="243">
        <v>146</v>
      </c>
      <c r="B156" s="1532"/>
      <c r="C156" s="271">
        <v>1</v>
      </c>
      <c r="D156" s="584" t="s">
        <v>850</v>
      </c>
      <c r="E156" s="1519"/>
      <c r="F156" s="1520"/>
      <c r="G156" s="1521"/>
      <c r="H156" s="1522"/>
      <c r="I156" s="1523"/>
      <c r="J156" s="1524">
        <v>1500</v>
      </c>
      <c r="K156" s="1525"/>
      <c r="L156" s="1533">
        <f>SUM(J156:K156)</f>
        <v>1500</v>
      </c>
    </row>
    <row r="157" spans="1:248" s="506" customFormat="1" ht="36" customHeight="1" thickBot="1" x14ac:dyDescent="0.25">
      <c r="A157" s="243">
        <v>147</v>
      </c>
      <c r="B157" s="1919" t="s">
        <v>844</v>
      </c>
      <c r="C157" s="1920"/>
      <c r="D157" s="1920"/>
      <c r="E157" s="507"/>
      <c r="F157" s="508"/>
      <c r="G157" s="509"/>
      <c r="H157" s="1526"/>
      <c r="I157" s="1527"/>
      <c r="J157" s="1433">
        <f>SUM(J153,J156)</f>
        <v>452990</v>
      </c>
      <c r="K157" s="1402">
        <f>K156+K153</f>
        <v>58807</v>
      </c>
      <c r="L157" s="1528">
        <f>SUM(J157,K157)</f>
        <v>511797</v>
      </c>
    </row>
    <row r="158" spans="1:248" ht="18" customHeight="1" x14ac:dyDescent="0.3">
      <c r="B158" s="511"/>
      <c r="C158" s="512" t="s">
        <v>25</v>
      </c>
      <c r="D158" s="511"/>
      <c r="E158" s="513"/>
      <c r="F158" s="514"/>
      <c r="G158" s="515"/>
      <c r="H158" s="516"/>
      <c r="I158" s="516"/>
      <c r="J158" s="516"/>
    </row>
    <row r="159" spans="1:248" s="518" customFormat="1" ht="18" customHeight="1" x14ac:dyDescent="0.3">
      <c r="A159" s="501"/>
      <c r="B159" s="511" t="s">
        <v>26</v>
      </c>
      <c r="C159" s="511"/>
      <c r="D159" s="511"/>
      <c r="E159" s="513"/>
      <c r="F159" s="517"/>
      <c r="G159" s="515"/>
      <c r="H159" s="516"/>
      <c r="I159" s="516"/>
      <c r="J159" s="516"/>
      <c r="K159" s="258"/>
      <c r="L159" s="258"/>
      <c r="M159" s="258"/>
      <c r="N159" s="258"/>
      <c r="O159" s="258"/>
      <c r="P159" s="258"/>
      <c r="Q159" s="258"/>
      <c r="R159" s="258"/>
      <c r="S159" s="258"/>
      <c r="T159" s="258"/>
      <c r="U159" s="258"/>
      <c r="V159" s="258"/>
      <c r="W159" s="258"/>
      <c r="X159" s="258"/>
      <c r="Y159" s="258"/>
      <c r="Z159" s="258"/>
      <c r="AA159" s="258"/>
      <c r="AB159" s="258"/>
      <c r="AC159" s="258"/>
      <c r="AD159" s="258"/>
      <c r="AE159" s="258"/>
      <c r="AF159" s="258"/>
      <c r="AG159" s="258"/>
      <c r="AH159" s="258"/>
      <c r="AI159" s="258"/>
      <c r="AJ159" s="258"/>
      <c r="AK159" s="258"/>
      <c r="AL159" s="258"/>
      <c r="AM159" s="258"/>
      <c r="AN159" s="258"/>
      <c r="AO159" s="258"/>
      <c r="AP159" s="258"/>
      <c r="AQ159" s="258"/>
      <c r="AR159" s="258"/>
      <c r="AS159" s="258"/>
      <c r="AT159" s="258"/>
      <c r="AU159" s="258"/>
      <c r="AV159" s="258"/>
      <c r="AW159" s="258"/>
      <c r="AX159" s="258"/>
      <c r="AY159" s="258"/>
      <c r="AZ159" s="258"/>
      <c r="BA159" s="258"/>
      <c r="BB159" s="258"/>
      <c r="BC159" s="258"/>
      <c r="BD159" s="258"/>
      <c r="BE159" s="258"/>
      <c r="BF159" s="258"/>
      <c r="BG159" s="258"/>
      <c r="BH159" s="258"/>
      <c r="BI159" s="258"/>
      <c r="BJ159" s="258"/>
      <c r="BK159" s="258"/>
      <c r="BL159" s="258"/>
      <c r="BM159" s="258"/>
      <c r="BN159" s="258"/>
      <c r="BO159" s="258"/>
      <c r="BP159" s="258"/>
      <c r="BQ159" s="258"/>
      <c r="BR159" s="258"/>
      <c r="BS159" s="258"/>
      <c r="BT159" s="258"/>
      <c r="BU159" s="258"/>
      <c r="BV159" s="258"/>
      <c r="BW159" s="258"/>
      <c r="BX159" s="258"/>
      <c r="BY159" s="258"/>
      <c r="BZ159" s="258"/>
      <c r="CA159" s="258"/>
      <c r="CB159" s="258"/>
      <c r="CC159" s="258"/>
      <c r="CD159" s="258"/>
      <c r="CE159" s="258"/>
      <c r="CF159" s="258"/>
      <c r="CG159" s="258"/>
      <c r="CH159" s="258"/>
      <c r="CI159" s="258"/>
      <c r="CJ159" s="258"/>
      <c r="CK159" s="258"/>
      <c r="CL159" s="258"/>
      <c r="CM159" s="258"/>
      <c r="CN159" s="258"/>
      <c r="CO159" s="258"/>
      <c r="CP159" s="258"/>
      <c r="CQ159" s="258"/>
      <c r="CR159" s="258"/>
      <c r="CS159" s="258"/>
      <c r="CT159" s="258"/>
      <c r="CU159" s="258"/>
      <c r="CV159" s="258"/>
      <c r="CW159" s="258"/>
      <c r="CX159" s="258"/>
      <c r="CY159" s="258"/>
      <c r="CZ159" s="258"/>
      <c r="DA159" s="258"/>
      <c r="DB159" s="258"/>
      <c r="DC159" s="258"/>
      <c r="DD159" s="258"/>
      <c r="DE159" s="258"/>
      <c r="DF159" s="258"/>
      <c r="DG159" s="258"/>
      <c r="DH159" s="258"/>
      <c r="DI159" s="258"/>
      <c r="DJ159" s="258"/>
      <c r="DK159" s="258"/>
      <c r="DL159" s="258"/>
      <c r="DM159" s="258"/>
      <c r="DN159" s="258"/>
      <c r="DO159" s="258"/>
      <c r="DP159" s="258"/>
      <c r="DQ159" s="258"/>
      <c r="DR159" s="258"/>
      <c r="DS159" s="258"/>
      <c r="DT159" s="258"/>
      <c r="DU159" s="258"/>
      <c r="DV159" s="258"/>
      <c r="DW159" s="258"/>
      <c r="DX159" s="258"/>
      <c r="DY159" s="258"/>
      <c r="DZ159" s="258"/>
      <c r="EA159" s="258"/>
      <c r="EB159" s="258"/>
      <c r="EC159" s="258"/>
      <c r="ED159" s="258"/>
      <c r="EE159" s="258"/>
      <c r="EF159" s="258"/>
      <c r="EG159" s="258"/>
      <c r="EH159" s="258"/>
      <c r="EI159" s="258"/>
      <c r="EJ159" s="258"/>
      <c r="EK159" s="258"/>
      <c r="EL159" s="258"/>
      <c r="EM159" s="258"/>
      <c r="EN159" s="258"/>
      <c r="EO159" s="258"/>
      <c r="EP159" s="258"/>
      <c r="EQ159" s="258"/>
      <c r="ER159" s="258"/>
      <c r="ES159" s="258"/>
      <c r="ET159" s="258"/>
      <c r="EU159" s="258"/>
      <c r="EV159" s="258"/>
      <c r="EW159" s="258"/>
      <c r="EX159" s="258"/>
      <c r="EY159" s="258"/>
      <c r="EZ159" s="258"/>
      <c r="FA159" s="258"/>
      <c r="FB159" s="258"/>
      <c r="FC159" s="258"/>
      <c r="FD159" s="258"/>
      <c r="FE159" s="258"/>
      <c r="FF159" s="258"/>
      <c r="FG159" s="258"/>
      <c r="FH159" s="258"/>
      <c r="FI159" s="258"/>
      <c r="FJ159" s="258"/>
      <c r="FK159" s="258"/>
      <c r="FL159" s="258"/>
      <c r="FM159" s="258"/>
      <c r="FN159" s="258"/>
      <c r="FO159" s="258"/>
      <c r="FP159" s="258"/>
      <c r="FQ159" s="258"/>
      <c r="FR159" s="258"/>
      <c r="FS159" s="258"/>
      <c r="FT159" s="258"/>
      <c r="FU159" s="258"/>
      <c r="FV159" s="258"/>
      <c r="FW159" s="258"/>
      <c r="FX159" s="258"/>
      <c r="FY159" s="258"/>
      <c r="FZ159" s="258"/>
      <c r="GA159" s="258"/>
      <c r="GB159" s="258"/>
      <c r="GC159" s="258"/>
      <c r="GD159" s="258"/>
      <c r="GE159" s="258"/>
      <c r="GF159" s="258"/>
      <c r="GG159" s="258"/>
      <c r="GH159" s="258"/>
      <c r="GI159" s="258"/>
      <c r="GJ159" s="258"/>
      <c r="GK159" s="258"/>
      <c r="GL159" s="258"/>
      <c r="GM159" s="258"/>
      <c r="GN159" s="258"/>
      <c r="GO159" s="258"/>
      <c r="GP159" s="258"/>
      <c r="GQ159" s="258"/>
      <c r="GR159" s="258"/>
      <c r="GS159" s="258"/>
      <c r="GT159" s="258"/>
      <c r="GU159" s="258"/>
      <c r="GV159" s="258"/>
      <c r="GW159" s="258"/>
      <c r="GX159" s="258"/>
      <c r="GY159" s="258"/>
      <c r="GZ159" s="258"/>
      <c r="HA159" s="258"/>
      <c r="HB159" s="258"/>
      <c r="HC159" s="258"/>
      <c r="HD159" s="258"/>
      <c r="HE159" s="258"/>
      <c r="HF159" s="258"/>
      <c r="HG159" s="258"/>
      <c r="HH159" s="258"/>
      <c r="HI159" s="258"/>
      <c r="HJ159" s="258"/>
      <c r="HK159" s="258"/>
      <c r="HL159" s="258"/>
      <c r="HM159" s="258"/>
      <c r="HN159" s="258"/>
      <c r="HO159" s="258"/>
      <c r="HP159" s="258"/>
      <c r="HQ159" s="258"/>
      <c r="HR159" s="258"/>
      <c r="HS159" s="258"/>
      <c r="HT159" s="258"/>
      <c r="HU159" s="258"/>
      <c r="HV159" s="258"/>
      <c r="HW159" s="258"/>
      <c r="HX159" s="258"/>
      <c r="HY159" s="258"/>
      <c r="HZ159" s="258"/>
      <c r="IA159" s="258"/>
      <c r="IB159" s="258"/>
      <c r="IC159" s="258"/>
      <c r="ID159" s="258"/>
      <c r="IE159" s="258"/>
      <c r="IF159" s="258"/>
      <c r="IG159" s="258"/>
      <c r="IH159" s="258"/>
      <c r="II159" s="258"/>
      <c r="IJ159" s="258"/>
      <c r="IK159" s="258"/>
      <c r="IL159" s="258"/>
      <c r="IM159" s="258"/>
      <c r="IN159" s="258"/>
    </row>
    <row r="160" spans="1:248" s="518" customFormat="1" ht="18" customHeight="1" x14ac:dyDescent="0.3">
      <c r="A160" s="501"/>
      <c r="B160" s="511" t="s">
        <v>27</v>
      </c>
      <c r="C160" s="511"/>
      <c r="D160" s="511"/>
      <c r="E160" s="513"/>
      <c r="F160" s="517"/>
      <c r="G160" s="515"/>
      <c r="H160" s="516"/>
      <c r="I160" s="516"/>
      <c r="J160" s="516"/>
      <c r="K160" s="258"/>
      <c r="L160" s="258"/>
      <c r="M160" s="258"/>
      <c r="N160" s="258"/>
      <c r="O160" s="258"/>
      <c r="P160" s="258"/>
      <c r="Q160" s="258"/>
      <c r="R160" s="258"/>
      <c r="S160" s="258"/>
      <c r="T160" s="258"/>
      <c r="U160" s="258"/>
      <c r="V160" s="258"/>
      <c r="W160" s="258"/>
      <c r="X160" s="258"/>
      <c r="Y160" s="258"/>
      <c r="Z160" s="258"/>
      <c r="AA160" s="258"/>
      <c r="AB160" s="258"/>
      <c r="AC160" s="258"/>
      <c r="AD160" s="258"/>
      <c r="AE160" s="258"/>
      <c r="AF160" s="258"/>
      <c r="AG160" s="258"/>
      <c r="AH160" s="258"/>
      <c r="AI160" s="258"/>
      <c r="AJ160" s="258"/>
      <c r="AK160" s="258"/>
      <c r="AL160" s="258"/>
      <c r="AM160" s="258"/>
      <c r="AN160" s="258"/>
      <c r="AO160" s="258"/>
      <c r="AP160" s="258"/>
      <c r="AQ160" s="258"/>
      <c r="AR160" s="258"/>
      <c r="AS160" s="258"/>
      <c r="AT160" s="258"/>
      <c r="AU160" s="258"/>
      <c r="AV160" s="258"/>
      <c r="AW160" s="258"/>
      <c r="AX160" s="258"/>
      <c r="AY160" s="258"/>
      <c r="AZ160" s="258"/>
      <c r="BA160" s="258"/>
      <c r="BB160" s="258"/>
      <c r="BC160" s="258"/>
      <c r="BD160" s="258"/>
      <c r="BE160" s="258"/>
      <c r="BF160" s="258"/>
      <c r="BG160" s="258"/>
      <c r="BH160" s="258"/>
      <c r="BI160" s="258"/>
      <c r="BJ160" s="258"/>
      <c r="BK160" s="258"/>
      <c r="BL160" s="258"/>
      <c r="BM160" s="258"/>
      <c r="BN160" s="258"/>
      <c r="BO160" s="258"/>
      <c r="BP160" s="258"/>
      <c r="BQ160" s="258"/>
      <c r="BR160" s="258"/>
      <c r="BS160" s="258"/>
      <c r="BT160" s="258"/>
      <c r="BU160" s="258"/>
      <c r="BV160" s="258"/>
      <c r="BW160" s="258"/>
      <c r="BX160" s="258"/>
      <c r="BY160" s="258"/>
      <c r="BZ160" s="258"/>
      <c r="CA160" s="258"/>
      <c r="CB160" s="258"/>
      <c r="CC160" s="258"/>
      <c r="CD160" s="258"/>
      <c r="CE160" s="258"/>
      <c r="CF160" s="258"/>
      <c r="CG160" s="258"/>
      <c r="CH160" s="258"/>
      <c r="CI160" s="258"/>
      <c r="CJ160" s="258"/>
      <c r="CK160" s="258"/>
      <c r="CL160" s="258"/>
      <c r="CM160" s="258"/>
      <c r="CN160" s="258"/>
      <c r="CO160" s="258"/>
      <c r="CP160" s="258"/>
      <c r="CQ160" s="258"/>
      <c r="CR160" s="258"/>
      <c r="CS160" s="258"/>
      <c r="CT160" s="258"/>
      <c r="CU160" s="258"/>
      <c r="CV160" s="258"/>
      <c r="CW160" s="258"/>
      <c r="CX160" s="258"/>
      <c r="CY160" s="258"/>
      <c r="CZ160" s="258"/>
      <c r="DA160" s="258"/>
      <c r="DB160" s="258"/>
      <c r="DC160" s="258"/>
      <c r="DD160" s="258"/>
      <c r="DE160" s="258"/>
      <c r="DF160" s="258"/>
      <c r="DG160" s="258"/>
      <c r="DH160" s="258"/>
      <c r="DI160" s="258"/>
      <c r="DJ160" s="258"/>
      <c r="DK160" s="258"/>
      <c r="DL160" s="258"/>
      <c r="DM160" s="258"/>
      <c r="DN160" s="258"/>
      <c r="DO160" s="258"/>
      <c r="DP160" s="258"/>
      <c r="DQ160" s="258"/>
      <c r="DR160" s="258"/>
      <c r="DS160" s="258"/>
      <c r="DT160" s="258"/>
      <c r="DU160" s="258"/>
      <c r="DV160" s="258"/>
      <c r="DW160" s="258"/>
      <c r="DX160" s="258"/>
      <c r="DY160" s="258"/>
      <c r="DZ160" s="258"/>
      <c r="EA160" s="258"/>
      <c r="EB160" s="258"/>
      <c r="EC160" s="258"/>
      <c r="ED160" s="258"/>
      <c r="EE160" s="258"/>
      <c r="EF160" s="258"/>
      <c r="EG160" s="258"/>
      <c r="EH160" s="258"/>
      <c r="EI160" s="258"/>
      <c r="EJ160" s="258"/>
      <c r="EK160" s="258"/>
      <c r="EL160" s="258"/>
      <c r="EM160" s="258"/>
      <c r="EN160" s="258"/>
      <c r="EO160" s="258"/>
      <c r="EP160" s="258"/>
      <c r="EQ160" s="258"/>
      <c r="ER160" s="258"/>
      <c r="ES160" s="258"/>
      <c r="ET160" s="258"/>
      <c r="EU160" s="258"/>
      <c r="EV160" s="258"/>
      <c r="EW160" s="258"/>
      <c r="EX160" s="258"/>
      <c r="EY160" s="258"/>
      <c r="EZ160" s="258"/>
      <c r="FA160" s="258"/>
      <c r="FB160" s="258"/>
      <c r="FC160" s="258"/>
      <c r="FD160" s="258"/>
      <c r="FE160" s="258"/>
      <c r="FF160" s="258"/>
      <c r="FG160" s="258"/>
      <c r="FH160" s="258"/>
      <c r="FI160" s="258"/>
      <c r="FJ160" s="258"/>
      <c r="FK160" s="258"/>
      <c r="FL160" s="258"/>
      <c r="FM160" s="258"/>
      <c r="FN160" s="258"/>
      <c r="FO160" s="258"/>
      <c r="FP160" s="258"/>
      <c r="FQ160" s="258"/>
      <c r="FR160" s="258"/>
      <c r="FS160" s="258"/>
      <c r="FT160" s="258"/>
      <c r="FU160" s="258"/>
      <c r="FV160" s="258"/>
      <c r="FW160" s="258"/>
      <c r="FX160" s="258"/>
      <c r="FY160" s="258"/>
      <c r="FZ160" s="258"/>
      <c r="GA160" s="258"/>
      <c r="GB160" s="258"/>
      <c r="GC160" s="258"/>
      <c r="GD160" s="258"/>
      <c r="GE160" s="258"/>
      <c r="GF160" s="258"/>
      <c r="GG160" s="258"/>
      <c r="GH160" s="258"/>
      <c r="GI160" s="258"/>
      <c r="GJ160" s="258"/>
      <c r="GK160" s="258"/>
      <c r="GL160" s="258"/>
      <c r="GM160" s="258"/>
      <c r="GN160" s="258"/>
      <c r="GO160" s="258"/>
      <c r="GP160" s="258"/>
      <c r="GQ160" s="258"/>
      <c r="GR160" s="258"/>
      <c r="GS160" s="258"/>
      <c r="GT160" s="258"/>
      <c r="GU160" s="258"/>
      <c r="GV160" s="258"/>
      <c r="GW160" s="258"/>
      <c r="GX160" s="258"/>
      <c r="GY160" s="258"/>
      <c r="GZ160" s="258"/>
      <c r="HA160" s="258"/>
      <c r="HB160" s="258"/>
      <c r="HC160" s="258"/>
      <c r="HD160" s="258"/>
      <c r="HE160" s="258"/>
      <c r="HF160" s="258"/>
      <c r="HG160" s="258"/>
      <c r="HH160" s="258"/>
      <c r="HI160" s="258"/>
      <c r="HJ160" s="258"/>
      <c r="HK160" s="258"/>
      <c r="HL160" s="258"/>
      <c r="HM160" s="258"/>
      <c r="HN160" s="258"/>
      <c r="HO160" s="258"/>
      <c r="HP160" s="258"/>
      <c r="HQ160" s="258"/>
      <c r="HR160" s="258"/>
      <c r="HS160" s="258"/>
      <c r="HT160" s="258"/>
      <c r="HU160" s="258"/>
      <c r="HV160" s="258"/>
      <c r="HW160" s="258"/>
      <c r="HX160" s="258"/>
      <c r="HY160" s="258"/>
      <c r="HZ160" s="258"/>
      <c r="IA160" s="258"/>
      <c r="IB160" s="258"/>
      <c r="IC160" s="258"/>
      <c r="ID160" s="258"/>
      <c r="IE160" s="258"/>
      <c r="IF160" s="258"/>
      <c r="IG160" s="258"/>
      <c r="IH160" s="258"/>
      <c r="II160" s="258"/>
      <c r="IJ160" s="258"/>
      <c r="IK160" s="258"/>
      <c r="IL160" s="258"/>
      <c r="IM160" s="258"/>
      <c r="IN160" s="258"/>
    </row>
    <row r="161" spans="1:248" s="518" customFormat="1" x14ac:dyDescent="0.3">
      <c r="A161" s="501"/>
      <c r="B161" s="252"/>
      <c r="C161" s="491"/>
      <c r="D161" s="492"/>
      <c r="E161" s="493"/>
      <c r="F161" s="494"/>
      <c r="G161" s="494"/>
      <c r="H161" s="495"/>
      <c r="I161" s="495"/>
      <c r="J161" s="495"/>
      <c r="K161" s="258"/>
      <c r="L161" s="258"/>
      <c r="M161" s="258"/>
      <c r="N161" s="258"/>
      <c r="O161" s="258"/>
      <c r="P161" s="258"/>
      <c r="Q161" s="258"/>
      <c r="R161" s="258"/>
      <c r="S161" s="258"/>
      <c r="T161" s="258"/>
      <c r="U161" s="258"/>
      <c r="V161" s="258"/>
      <c r="W161" s="258"/>
      <c r="X161" s="258"/>
      <c r="Y161" s="258"/>
      <c r="Z161" s="258"/>
      <c r="AA161" s="258"/>
      <c r="AB161" s="258"/>
      <c r="AC161" s="258"/>
      <c r="AD161" s="258"/>
      <c r="AE161" s="258"/>
      <c r="AF161" s="258"/>
      <c r="AG161" s="258"/>
      <c r="AH161" s="258"/>
      <c r="AI161" s="258"/>
      <c r="AJ161" s="258"/>
      <c r="AK161" s="258"/>
      <c r="AL161" s="258"/>
      <c r="AM161" s="258"/>
      <c r="AN161" s="258"/>
      <c r="AO161" s="258"/>
      <c r="AP161" s="258"/>
      <c r="AQ161" s="258"/>
      <c r="AR161" s="258"/>
      <c r="AS161" s="258"/>
      <c r="AT161" s="258"/>
      <c r="AU161" s="258"/>
      <c r="AV161" s="258"/>
      <c r="AW161" s="258"/>
      <c r="AX161" s="258"/>
      <c r="AY161" s="258"/>
      <c r="AZ161" s="258"/>
      <c r="BA161" s="258"/>
      <c r="BB161" s="258"/>
      <c r="BC161" s="258"/>
      <c r="BD161" s="258"/>
      <c r="BE161" s="258"/>
      <c r="BF161" s="258"/>
      <c r="BG161" s="258"/>
      <c r="BH161" s="258"/>
      <c r="BI161" s="258"/>
      <c r="BJ161" s="258"/>
      <c r="BK161" s="258"/>
      <c r="BL161" s="258"/>
      <c r="BM161" s="258"/>
      <c r="BN161" s="258"/>
      <c r="BO161" s="258"/>
      <c r="BP161" s="258"/>
      <c r="BQ161" s="258"/>
      <c r="BR161" s="258"/>
      <c r="BS161" s="258"/>
      <c r="BT161" s="258"/>
      <c r="BU161" s="258"/>
      <c r="BV161" s="258"/>
      <c r="BW161" s="258"/>
      <c r="BX161" s="258"/>
      <c r="BY161" s="258"/>
      <c r="BZ161" s="258"/>
      <c r="CA161" s="258"/>
      <c r="CB161" s="258"/>
      <c r="CC161" s="258"/>
      <c r="CD161" s="258"/>
      <c r="CE161" s="258"/>
      <c r="CF161" s="258"/>
      <c r="CG161" s="258"/>
      <c r="CH161" s="258"/>
      <c r="CI161" s="258"/>
      <c r="CJ161" s="258"/>
      <c r="CK161" s="258"/>
      <c r="CL161" s="258"/>
      <c r="CM161" s="258"/>
      <c r="CN161" s="258"/>
      <c r="CO161" s="258"/>
      <c r="CP161" s="258"/>
      <c r="CQ161" s="258"/>
      <c r="CR161" s="258"/>
      <c r="CS161" s="258"/>
      <c r="CT161" s="258"/>
      <c r="CU161" s="258"/>
      <c r="CV161" s="258"/>
      <c r="CW161" s="258"/>
      <c r="CX161" s="258"/>
      <c r="CY161" s="258"/>
      <c r="CZ161" s="258"/>
      <c r="DA161" s="258"/>
      <c r="DB161" s="258"/>
      <c r="DC161" s="258"/>
      <c r="DD161" s="258"/>
      <c r="DE161" s="258"/>
      <c r="DF161" s="258"/>
      <c r="DG161" s="258"/>
      <c r="DH161" s="258"/>
      <c r="DI161" s="258"/>
      <c r="DJ161" s="258"/>
      <c r="DK161" s="258"/>
      <c r="DL161" s="258"/>
      <c r="DM161" s="258"/>
      <c r="DN161" s="258"/>
      <c r="DO161" s="258"/>
      <c r="DP161" s="258"/>
      <c r="DQ161" s="258"/>
      <c r="DR161" s="258"/>
      <c r="DS161" s="258"/>
      <c r="DT161" s="258"/>
      <c r="DU161" s="258"/>
      <c r="DV161" s="258"/>
      <c r="DW161" s="258"/>
      <c r="DX161" s="258"/>
      <c r="DY161" s="258"/>
      <c r="DZ161" s="258"/>
      <c r="EA161" s="258"/>
      <c r="EB161" s="258"/>
      <c r="EC161" s="258"/>
      <c r="ED161" s="258"/>
      <c r="EE161" s="258"/>
      <c r="EF161" s="258"/>
      <c r="EG161" s="258"/>
      <c r="EH161" s="258"/>
      <c r="EI161" s="258"/>
      <c r="EJ161" s="258"/>
      <c r="EK161" s="258"/>
      <c r="EL161" s="258"/>
      <c r="EM161" s="258"/>
      <c r="EN161" s="258"/>
      <c r="EO161" s="258"/>
      <c r="EP161" s="258"/>
      <c r="EQ161" s="258"/>
      <c r="ER161" s="258"/>
      <c r="ES161" s="258"/>
      <c r="ET161" s="258"/>
      <c r="EU161" s="258"/>
      <c r="EV161" s="258"/>
      <c r="EW161" s="258"/>
      <c r="EX161" s="258"/>
      <c r="EY161" s="258"/>
      <c r="EZ161" s="258"/>
      <c r="FA161" s="258"/>
      <c r="FB161" s="258"/>
      <c r="FC161" s="258"/>
      <c r="FD161" s="258"/>
      <c r="FE161" s="258"/>
      <c r="FF161" s="258"/>
      <c r="FG161" s="258"/>
      <c r="FH161" s="258"/>
      <c r="FI161" s="258"/>
      <c r="FJ161" s="258"/>
      <c r="FK161" s="258"/>
      <c r="FL161" s="258"/>
      <c r="FM161" s="258"/>
      <c r="FN161" s="258"/>
      <c r="FO161" s="258"/>
      <c r="FP161" s="258"/>
      <c r="FQ161" s="258"/>
      <c r="FR161" s="258"/>
      <c r="FS161" s="258"/>
      <c r="FT161" s="258"/>
      <c r="FU161" s="258"/>
      <c r="FV161" s="258"/>
      <c r="FW161" s="258"/>
      <c r="FX161" s="258"/>
      <c r="FY161" s="258"/>
      <c r="FZ161" s="258"/>
      <c r="GA161" s="258"/>
      <c r="GB161" s="258"/>
      <c r="GC161" s="258"/>
      <c r="GD161" s="258"/>
      <c r="GE161" s="258"/>
      <c r="GF161" s="258"/>
      <c r="GG161" s="258"/>
      <c r="GH161" s="258"/>
      <c r="GI161" s="258"/>
      <c r="GJ161" s="258"/>
      <c r="GK161" s="258"/>
      <c r="GL161" s="258"/>
      <c r="GM161" s="258"/>
      <c r="GN161" s="258"/>
      <c r="GO161" s="258"/>
      <c r="GP161" s="258"/>
      <c r="GQ161" s="258"/>
      <c r="GR161" s="258"/>
      <c r="GS161" s="258"/>
      <c r="GT161" s="258"/>
      <c r="GU161" s="258"/>
      <c r="GV161" s="258"/>
      <c r="GW161" s="258"/>
      <c r="GX161" s="258"/>
      <c r="GY161" s="258"/>
      <c r="GZ161" s="258"/>
      <c r="HA161" s="258"/>
      <c r="HB161" s="258"/>
      <c r="HC161" s="258"/>
      <c r="HD161" s="258"/>
      <c r="HE161" s="258"/>
      <c r="HF161" s="258"/>
      <c r="HG161" s="258"/>
      <c r="HH161" s="258"/>
      <c r="HI161" s="258"/>
      <c r="HJ161" s="258"/>
      <c r="HK161" s="258"/>
      <c r="HL161" s="258"/>
      <c r="HM161" s="258"/>
      <c r="HN161" s="258"/>
      <c r="HO161" s="258"/>
      <c r="HP161" s="258"/>
      <c r="HQ161" s="258"/>
      <c r="HR161" s="258"/>
      <c r="HS161" s="258"/>
      <c r="HT161" s="258"/>
      <c r="HU161" s="258"/>
      <c r="HV161" s="258"/>
      <c r="HW161" s="258"/>
      <c r="HX161" s="258"/>
      <c r="HY161" s="258"/>
      <c r="HZ161" s="258"/>
      <c r="IA161" s="258"/>
      <c r="IB161" s="258"/>
      <c r="IC161" s="258"/>
      <c r="ID161" s="258"/>
      <c r="IE161" s="258"/>
      <c r="IF161" s="258"/>
      <c r="IG161" s="258"/>
      <c r="IH161" s="258"/>
      <c r="II161" s="258"/>
      <c r="IJ161" s="258"/>
      <c r="IK161" s="258"/>
      <c r="IL161" s="258"/>
      <c r="IM161" s="258"/>
      <c r="IN161" s="258"/>
    </row>
  </sheetData>
  <mergeCells count="19">
    <mergeCell ref="B1:K1"/>
    <mergeCell ref="B2:D2"/>
    <mergeCell ref="B8:B9"/>
    <mergeCell ref="C8:C9"/>
    <mergeCell ref="D8:D9"/>
    <mergeCell ref="E8:E9"/>
    <mergeCell ref="K8:K9"/>
    <mergeCell ref="J8:J9"/>
    <mergeCell ref="B157:D157"/>
    <mergeCell ref="L8:L9"/>
    <mergeCell ref="B4:L4"/>
    <mergeCell ref="B5:L5"/>
    <mergeCell ref="B153:D153"/>
    <mergeCell ref="I8:I9"/>
    <mergeCell ref="F8:F9"/>
    <mergeCell ref="G8:G9"/>
    <mergeCell ref="H8:H9"/>
    <mergeCell ref="B138:D138"/>
    <mergeCell ref="B152:D152"/>
  </mergeCells>
  <printOptions horizontalCentered="1"/>
  <pageMargins left="0.19685039370078741" right="0.19685039370078741" top="0.39370078740157483" bottom="0.39370078740157483" header="0.31496062992125984" footer="0.31496062992125984"/>
  <pageSetup paperSize="9" scale="54" fitToHeight="0" orientation="portrait" r:id="rId1"/>
  <headerFooter alignWithMargins="0">
    <oddFooter>&amp;C- &amp;P -</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P1153"/>
  <sheetViews>
    <sheetView view="pageBreakPreview" topLeftCell="A785" zoomScaleNormal="100" zoomScaleSheetLayoutView="100" workbookViewId="0">
      <selection activeCell="G798" sqref="G798"/>
    </sheetView>
  </sheetViews>
  <sheetFormatPr defaultColWidth="9.28515625" defaultRowHeight="17.25" x14ac:dyDescent="0.35"/>
  <cols>
    <col min="1" max="1" width="3.7109375" style="716" customWidth="1"/>
    <col min="2" max="2" width="5.7109375" style="733" customWidth="1"/>
    <col min="3" max="3" width="5.7109375" style="861" customWidth="1"/>
    <col min="4" max="4" width="87.7109375" style="862" customWidth="1"/>
    <col min="5" max="7" width="11.7109375" style="699" customWidth="1"/>
    <col min="8" max="8" width="6.7109375" style="733" customWidth="1"/>
    <col min="9" max="9" width="12.7109375" style="863" customWidth="1"/>
    <col min="10" max="14" width="12.7109375" style="699" customWidth="1"/>
    <col min="15" max="15" width="9.28515625" style="699" bestFit="1" customWidth="1"/>
    <col min="16" max="16384" width="9.28515625" style="699"/>
  </cols>
  <sheetData>
    <row r="1" spans="1:16" ht="16.5" x14ac:dyDescent="0.3">
      <c r="B1" s="1839" t="s">
        <v>869</v>
      </c>
      <c r="C1" s="1839"/>
      <c r="D1" s="1839"/>
      <c r="E1" s="1839"/>
      <c r="F1" s="1839"/>
      <c r="G1" s="1839"/>
      <c r="H1" s="1839"/>
      <c r="I1" s="1839"/>
      <c r="J1" s="1839"/>
    </row>
    <row r="2" spans="1:16" ht="16.5" x14ac:dyDescent="0.3">
      <c r="A2" s="698"/>
      <c r="B2" s="1971" t="s">
        <v>798</v>
      </c>
      <c r="C2" s="1971"/>
      <c r="D2" s="1971"/>
      <c r="G2" s="1972"/>
      <c r="H2" s="1972"/>
      <c r="I2" s="1972"/>
      <c r="J2" s="700"/>
      <c r="K2" s="700"/>
      <c r="L2" s="700"/>
      <c r="M2" s="700"/>
      <c r="N2" s="700"/>
    </row>
    <row r="3" spans="1:16" ht="24.75" customHeight="1" x14ac:dyDescent="0.35">
      <c r="A3" s="698"/>
      <c r="B3" s="1973" t="s">
        <v>14</v>
      </c>
      <c r="C3" s="1973"/>
      <c r="D3" s="1973"/>
      <c r="E3" s="1973"/>
      <c r="F3" s="1973"/>
      <c r="G3" s="1973"/>
      <c r="H3" s="1973"/>
      <c r="I3" s="1973"/>
      <c r="J3" s="1973"/>
      <c r="K3" s="1973"/>
      <c r="L3" s="1973"/>
      <c r="M3" s="1973"/>
      <c r="N3" s="1973"/>
    </row>
    <row r="4" spans="1:16" s="703" customFormat="1" ht="24.75" customHeight="1" x14ac:dyDescent="0.2">
      <c r="A4" s="698"/>
      <c r="B4" s="1974" t="s">
        <v>558</v>
      </c>
      <c r="C4" s="1974"/>
      <c r="D4" s="1974"/>
      <c r="E4" s="1974"/>
      <c r="F4" s="1974"/>
      <c r="G4" s="1974"/>
      <c r="H4" s="1974"/>
      <c r="I4" s="1974"/>
      <c r="J4" s="1974"/>
      <c r="K4" s="1974"/>
      <c r="L4" s="1974"/>
      <c r="M4" s="1974"/>
      <c r="N4" s="1974"/>
    </row>
    <row r="5" spans="1:16" s="708" customFormat="1" ht="15" x14ac:dyDescent="0.3">
      <c r="A5" s="704"/>
      <c r="B5" s="705"/>
      <c r="C5" s="706"/>
      <c r="D5" s="707"/>
      <c r="H5" s="709"/>
      <c r="I5" s="710"/>
      <c r="J5" s="711"/>
      <c r="K5" s="711"/>
      <c r="L5" s="711"/>
      <c r="M5" s="1948" t="s">
        <v>0</v>
      </c>
      <c r="N5" s="1948"/>
    </row>
    <row r="6" spans="1:16" s="713" customFormat="1" ht="15" thickBot="1" x14ac:dyDescent="0.35">
      <c r="A6" s="712"/>
      <c r="B6" s="713" t="s">
        <v>1</v>
      </c>
      <c r="C6" s="713" t="s">
        <v>3</v>
      </c>
      <c r="D6" s="714" t="s">
        <v>2</v>
      </c>
      <c r="E6" s="713" t="s">
        <v>4</v>
      </c>
      <c r="F6" s="713" t="s">
        <v>5</v>
      </c>
      <c r="G6" s="713" t="s">
        <v>15</v>
      </c>
      <c r="H6" s="715" t="s">
        <v>16</v>
      </c>
      <c r="I6" s="713" t="s">
        <v>17</v>
      </c>
      <c r="J6" s="713" t="s">
        <v>32</v>
      </c>
      <c r="K6" s="713" t="s">
        <v>28</v>
      </c>
      <c r="L6" s="713" t="s">
        <v>23</v>
      </c>
      <c r="M6" s="713" t="s">
        <v>33</v>
      </c>
      <c r="N6" s="713" t="s">
        <v>34</v>
      </c>
    </row>
    <row r="7" spans="1:16" s="702" customFormat="1" ht="34.5" customHeight="1" x14ac:dyDescent="0.2">
      <c r="A7" s="716"/>
      <c r="B7" s="1959" t="s">
        <v>18</v>
      </c>
      <c r="C7" s="1961" t="s">
        <v>19</v>
      </c>
      <c r="D7" s="1965" t="s">
        <v>6</v>
      </c>
      <c r="E7" s="1957" t="s">
        <v>404</v>
      </c>
      <c r="F7" s="1957" t="s">
        <v>500</v>
      </c>
      <c r="G7" s="1963" t="s">
        <v>710</v>
      </c>
      <c r="H7" s="1967" t="s">
        <v>20</v>
      </c>
      <c r="I7" s="1953" t="s">
        <v>514</v>
      </c>
      <c r="J7" s="1955" t="s">
        <v>35</v>
      </c>
      <c r="K7" s="1955"/>
      <c r="L7" s="1955"/>
      <c r="M7" s="1955"/>
      <c r="N7" s="1956"/>
    </row>
    <row r="8" spans="1:16" s="702" customFormat="1" ht="45.75" thickBot="1" x14ac:dyDescent="0.25">
      <c r="A8" s="716"/>
      <c r="B8" s="1960"/>
      <c r="C8" s="1962"/>
      <c r="D8" s="1966"/>
      <c r="E8" s="1958"/>
      <c r="F8" s="1958"/>
      <c r="G8" s="1964"/>
      <c r="H8" s="1968"/>
      <c r="I8" s="1954"/>
      <c r="J8" s="697" t="s">
        <v>36</v>
      </c>
      <c r="K8" s="697" t="s">
        <v>638</v>
      </c>
      <c r="L8" s="697" t="s">
        <v>38</v>
      </c>
      <c r="M8" s="697" t="s">
        <v>179</v>
      </c>
      <c r="N8" s="717" t="s">
        <v>39</v>
      </c>
    </row>
    <row r="9" spans="1:16" s="702" customFormat="1" ht="23.25" customHeight="1" x14ac:dyDescent="0.3">
      <c r="A9" s="716">
        <v>1</v>
      </c>
      <c r="B9" s="718">
        <v>18</v>
      </c>
      <c r="C9" s="209" t="s">
        <v>318</v>
      </c>
      <c r="D9" s="719"/>
      <c r="E9" s="720"/>
      <c r="F9" s="720"/>
      <c r="G9" s="1363"/>
      <c r="H9" s="721"/>
      <c r="I9" s="722"/>
      <c r="J9" s="723"/>
      <c r="K9" s="723"/>
      <c r="L9" s="723"/>
      <c r="M9" s="723"/>
      <c r="N9" s="724"/>
    </row>
    <row r="10" spans="1:16" s="733" customFormat="1" ht="22.5" customHeight="1" x14ac:dyDescent="0.3">
      <c r="A10" s="716">
        <v>2</v>
      </c>
      <c r="B10" s="725"/>
      <c r="C10" s="726">
        <v>1</v>
      </c>
      <c r="D10" s="727" t="s">
        <v>40</v>
      </c>
      <c r="E10" s="728">
        <v>833</v>
      </c>
      <c r="F10" s="728">
        <v>1412</v>
      </c>
      <c r="G10" s="1364">
        <v>1060</v>
      </c>
      <c r="H10" s="729" t="s">
        <v>23</v>
      </c>
      <c r="I10" s="730"/>
      <c r="J10" s="731"/>
      <c r="K10" s="731"/>
      <c r="L10" s="731"/>
      <c r="M10" s="731"/>
      <c r="N10" s="732"/>
    </row>
    <row r="11" spans="1:16" s="743" customFormat="1" ht="18" customHeight="1" x14ac:dyDescent="0.3">
      <c r="A11" s="716">
        <v>3</v>
      </c>
      <c r="B11" s="734"/>
      <c r="C11" s="735"/>
      <c r="D11" s="241" t="s">
        <v>245</v>
      </c>
      <c r="E11" s="736"/>
      <c r="F11" s="736"/>
      <c r="G11" s="737"/>
      <c r="H11" s="738"/>
      <c r="I11" s="739">
        <f>SUM(J11:N11)</f>
        <v>2164</v>
      </c>
      <c r="J11" s="740"/>
      <c r="K11" s="740"/>
      <c r="L11" s="741">
        <f>1612+552</f>
        <v>2164</v>
      </c>
      <c r="M11" s="740"/>
      <c r="N11" s="742"/>
    </row>
    <row r="12" spans="1:16" s="743" customFormat="1" ht="18" customHeight="1" x14ac:dyDescent="0.3">
      <c r="A12" s="716">
        <v>4</v>
      </c>
      <c r="B12" s="734"/>
      <c r="C12" s="735"/>
      <c r="D12" s="377" t="s">
        <v>810</v>
      </c>
      <c r="E12" s="736"/>
      <c r="F12" s="736"/>
      <c r="G12" s="737"/>
      <c r="H12" s="1097"/>
      <c r="I12" s="1445">
        <f>SUM(J12:N12)</f>
        <v>2164</v>
      </c>
      <c r="J12" s="731"/>
      <c r="K12" s="731"/>
      <c r="L12" s="1098">
        <v>2164</v>
      </c>
      <c r="M12" s="748"/>
      <c r="N12" s="749"/>
    </row>
    <row r="13" spans="1:16" s="743" customFormat="1" ht="18" customHeight="1" x14ac:dyDescent="0.3">
      <c r="A13" s="716">
        <v>5</v>
      </c>
      <c r="B13" s="734"/>
      <c r="C13" s="735"/>
      <c r="D13" s="910" t="s">
        <v>652</v>
      </c>
      <c r="E13" s="736"/>
      <c r="F13" s="736"/>
      <c r="G13" s="737"/>
      <c r="H13" s="1097"/>
      <c r="I13" s="299">
        <f>SUM(J13:Q13)</f>
        <v>0</v>
      </c>
      <c r="J13" s="1101"/>
      <c r="K13" s="1101"/>
      <c r="L13" s="1102"/>
      <c r="M13" s="1101"/>
      <c r="N13" s="749"/>
    </row>
    <row r="14" spans="1:16" s="743" customFormat="1" ht="18" customHeight="1" x14ac:dyDescent="0.3">
      <c r="A14" s="716">
        <v>6</v>
      </c>
      <c r="B14" s="734"/>
      <c r="C14" s="735"/>
      <c r="D14" s="377" t="s">
        <v>858</v>
      </c>
      <c r="E14" s="736"/>
      <c r="F14" s="736"/>
      <c r="G14" s="737"/>
      <c r="H14" s="1097"/>
      <c r="I14" s="443">
        <f>SUM(J14:Q14)</f>
        <v>2164</v>
      </c>
      <c r="J14" s="748"/>
      <c r="K14" s="748"/>
      <c r="L14" s="1098">
        <f>SUM(L12:L13)</f>
        <v>2164</v>
      </c>
      <c r="M14" s="748"/>
      <c r="N14" s="749"/>
    </row>
    <row r="15" spans="1:16" s="733" customFormat="1" ht="22.5" customHeight="1" x14ac:dyDescent="0.3">
      <c r="A15" s="716">
        <v>7</v>
      </c>
      <c r="B15" s="744"/>
      <c r="C15" s="745">
        <v>2</v>
      </c>
      <c r="D15" s="746" t="s">
        <v>625</v>
      </c>
      <c r="E15" s="736">
        <v>580</v>
      </c>
      <c r="F15" s="736">
        <v>5479</v>
      </c>
      <c r="G15" s="737">
        <v>68</v>
      </c>
      <c r="H15" s="738" t="s">
        <v>24</v>
      </c>
      <c r="I15" s="747"/>
      <c r="J15" s="748"/>
      <c r="K15" s="748"/>
      <c r="L15" s="748"/>
      <c r="M15" s="748"/>
      <c r="N15" s="749"/>
      <c r="P15" s="743"/>
    </row>
    <row r="16" spans="1:16" s="743" customFormat="1" ht="18" customHeight="1" x14ac:dyDescent="0.3">
      <c r="A16" s="716">
        <v>8</v>
      </c>
      <c r="B16" s="734"/>
      <c r="C16" s="735"/>
      <c r="D16" s="241" t="s">
        <v>245</v>
      </c>
      <c r="E16" s="736"/>
      <c r="F16" s="736"/>
      <c r="G16" s="737"/>
      <c r="H16" s="738"/>
      <c r="I16" s="739">
        <f>SUM(J16:N16)</f>
        <v>5000</v>
      </c>
      <c r="J16" s="740"/>
      <c r="K16" s="740"/>
      <c r="L16" s="741">
        <v>5000</v>
      </c>
      <c r="M16" s="740"/>
      <c r="N16" s="750"/>
    </row>
    <row r="17" spans="1:16" s="743" customFormat="1" ht="18" customHeight="1" x14ac:dyDescent="0.3">
      <c r="A17" s="716">
        <v>9</v>
      </c>
      <c r="B17" s="734"/>
      <c r="C17" s="735"/>
      <c r="D17" s="377" t="s">
        <v>810</v>
      </c>
      <c r="E17" s="736"/>
      <c r="F17" s="736"/>
      <c r="G17" s="737"/>
      <c r="H17" s="738"/>
      <c r="I17" s="1446">
        <f>SUM(J17:N17)</f>
        <v>47100</v>
      </c>
      <c r="J17" s="1103"/>
      <c r="K17" s="1103"/>
      <c r="L17" s="1099">
        <v>25100</v>
      </c>
      <c r="M17" s="740"/>
      <c r="N17" s="1104">
        <v>22000</v>
      </c>
    </row>
    <row r="18" spans="1:16" s="743" customFormat="1" ht="18" customHeight="1" x14ac:dyDescent="0.3">
      <c r="A18" s="716">
        <v>10</v>
      </c>
      <c r="B18" s="734"/>
      <c r="C18" s="735"/>
      <c r="D18" s="910" t="s">
        <v>652</v>
      </c>
      <c r="E18" s="736"/>
      <c r="F18" s="736"/>
      <c r="G18" s="737"/>
      <c r="H18" s="738"/>
      <c r="I18" s="299">
        <f>SUM(J18:Q18)</f>
        <v>0</v>
      </c>
      <c r="J18" s="1105"/>
      <c r="K18" s="1105"/>
      <c r="L18" s="1105"/>
      <c r="M18" s="1105"/>
      <c r="N18" s="1107"/>
    </row>
    <row r="19" spans="1:16" s="743" customFormat="1" ht="18" customHeight="1" x14ac:dyDescent="0.3">
      <c r="A19" s="716">
        <v>11</v>
      </c>
      <c r="B19" s="734"/>
      <c r="C19" s="735"/>
      <c r="D19" s="377" t="s">
        <v>858</v>
      </c>
      <c r="E19" s="736"/>
      <c r="F19" s="736"/>
      <c r="G19" s="737"/>
      <c r="H19" s="738"/>
      <c r="I19" s="443">
        <f>SUM(J19:Q19)</f>
        <v>47100</v>
      </c>
      <c r="J19" s="740"/>
      <c r="K19" s="740"/>
      <c r="L19" s="1099">
        <f>SUM(L17:L18)</f>
        <v>25100</v>
      </c>
      <c r="M19" s="1099">
        <f>SUM(M17:M18)</f>
        <v>0</v>
      </c>
      <c r="N19" s="1104">
        <f>SUM(N17:N18)</f>
        <v>22000</v>
      </c>
    </row>
    <row r="20" spans="1:16" s="733" customFormat="1" ht="22.5" customHeight="1" x14ac:dyDescent="0.3">
      <c r="A20" s="716">
        <v>12</v>
      </c>
      <c r="B20" s="744"/>
      <c r="C20" s="745">
        <v>3</v>
      </c>
      <c r="D20" s="746" t="s">
        <v>41</v>
      </c>
      <c r="E20" s="736">
        <v>6103</v>
      </c>
      <c r="F20" s="736">
        <v>41684</v>
      </c>
      <c r="G20" s="737">
        <v>3754</v>
      </c>
      <c r="H20" s="738" t="s">
        <v>24</v>
      </c>
      <c r="I20" s="751"/>
      <c r="J20" s="752"/>
      <c r="K20" s="752"/>
      <c r="L20" s="752"/>
      <c r="M20" s="752"/>
      <c r="N20" s="753"/>
      <c r="P20" s="743"/>
    </row>
    <row r="21" spans="1:16" s="733" customFormat="1" ht="18" customHeight="1" x14ac:dyDescent="0.3">
      <c r="A21" s="716">
        <v>13</v>
      </c>
      <c r="B21" s="744"/>
      <c r="C21" s="745"/>
      <c r="D21" s="241" t="s">
        <v>245</v>
      </c>
      <c r="E21" s="736"/>
      <c r="F21" s="736"/>
      <c r="G21" s="737"/>
      <c r="H21" s="738"/>
      <c r="I21" s="739">
        <f>SUM(J21:N21)</f>
        <v>20000</v>
      </c>
      <c r="J21" s="754">
        <v>1500</v>
      </c>
      <c r="K21" s="754">
        <v>500</v>
      </c>
      <c r="L21" s="754">
        <v>9500</v>
      </c>
      <c r="M21" s="752"/>
      <c r="N21" s="755">
        <v>8500</v>
      </c>
      <c r="P21" s="743"/>
    </row>
    <row r="22" spans="1:16" s="733" customFormat="1" ht="18" customHeight="1" x14ac:dyDescent="0.3">
      <c r="A22" s="716">
        <v>14</v>
      </c>
      <c r="B22" s="744"/>
      <c r="C22" s="745"/>
      <c r="D22" s="377" t="s">
        <v>810</v>
      </c>
      <c r="E22" s="736"/>
      <c r="F22" s="736"/>
      <c r="G22" s="737"/>
      <c r="H22" s="738"/>
      <c r="I22" s="1446">
        <f>SUM(J22:N22)</f>
        <v>43000</v>
      </c>
      <c r="J22" s="1100">
        <v>2250</v>
      </c>
      <c r="K22" s="1100">
        <v>750</v>
      </c>
      <c r="L22" s="1100">
        <v>26500</v>
      </c>
      <c r="M22" s="1447"/>
      <c r="N22" s="1108">
        <v>13500</v>
      </c>
      <c r="P22" s="743"/>
    </row>
    <row r="23" spans="1:16" s="733" customFormat="1" ht="18" customHeight="1" x14ac:dyDescent="0.3">
      <c r="A23" s="716">
        <v>15</v>
      </c>
      <c r="B23" s="744"/>
      <c r="C23" s="745"/>
      <c r="D23" s="910" t="s">
        <v>897</v>
      </c>
      <c r="E23" s="736"/>
      <c r="F23" s="736"/>
      <c r="G23" s="737"/>
      <c r="H23" s="738"/>
      <c r="I23" s="299">
        <f>SUM(J23:Q23)</f>
        <v>0</v>
      </c>
      <c r="J23" s="1110">
        <v>3176</v>
      </c>
      <c r="K23" s="1110">
        <v>1177</v>
      </c>
      <c r="L23" s="1110">
        <v>-4353</v>
      </c>
      <c r="M23" s="1110"/>
      <c r="N23" s="1111"/>
      <c r="P23" s="743"/>
    </row>
    <row r="24" spans="1:16" s="733" customFormat="1" ht="18" customHeight="1" x14ac:dyDescent="0.3">
      <c r="A24" s="716">
        <v>16</v>
      </c>
      <c r="B24" s="744"/>
      <c r="C24" s="745"/>
      <c r="D24" s="377" t="s">
        <v>858</v>
      </c>
      <c r="E24" s="736"/>
      <c r="F24" s="736"/>
      <c r="G24" s="737"/>
      <c r="H24" s="738"/>
      <c r="I24" s="443">
        <f>SUM(J24:Q24)</f>
        <v>43000</v>
      </c>
      <c r="J24" s="1100">
        <f>SUM(J22:J23)</f>
        <v>5426</v>
      </c>
      <c r="K24" s="1100">
        <f>SUM(K22:K23)</f>
        <v>1927</v>
      </c>
      <c r="L24" s="1100">
        <f>SUM(L22:L23)</f>
        <v>22147</v>
      </c>
      <c r="M24" s="1100"/>
      <c r="N24" s="1108">
        <f>SUM(N22:N23)</f>
        <v>13500</v>
      </c>
      <c r="P24" s="743"/>
    </row>
    <row r="25" spans="1:16" s="733" customFormat="1" ht="22.5" customHeight="1" x14ac:dyDescent="0.3">
      <c r="A25" s="716">
        <v>17</v>
      </c>
      <c r="B25" s="744"/>
      <c r="C25" s="745">
        <v>4</v>
      </c>
      <c r="D25" s="746" t="s">
        <v>42</v>
      </c>
      <c r="E25" s="736">
        <v>6857</v>
      </c>
      <c r="F25" s="736">
        <v>74055</v>
      </c>
      <c r="G25" s="737">
        <v>30951</v>
      </c>
      <c r="H25" s="738" t="s">
        <v>24</v>
      </c>
      <c r="I25" s="739"/>
      <c r="J25" s="740"/>
      <c r="K25" s="740"/>
      <c r="L25" s="740"/>
      <c r="M25" s="740"/>
      <c r="N25" s="742"/>
      <c r="P25" s="743"/>
    </row>
    <row r="26" spans="1:16" s="743" customFormat="1" ht="18" customHeight="1" x14ac:dyDescent="0.3">
      <c r="A26" s="716">
        <v>18</v>
      </c>
      <c r="B26" s="734"/>
      <c r="C26" s="735"/>
      <c r="D26" s="241" t="s">
        <v>245</v>
      </c>
      <c r="F26" s="1112"/>
      <c r="H26" s="738"/>
      <c r="I26" s="739">
        <f>SUM(J26:N26)</f>
        <v>57448</v>
      </c>
      <c r="J26" s="741">
        <f>1180</f>
        <v>1180</v>
      </c>
      <c r="K26" s="741">
        <f>501</f>
        <v>501</v>
      </c>
      <c r="L26" s="741">
        <v>55767</v>
      </c>
      <c r="M26" s="740"/>
      <c r="N26" s="742"/>
    </row>
    <row r="27" spans="1:16" s="743" customFormat="1" ht="18" customHeight="1" x14ac:dyDescent="0.3">
      <c r="A27" s="716">
        <v>19</v>
      </c>
      <c r="B27" s="734"/>
      <c r="C27" s="735"/>
      <c r="D27" s="377" t="s">
        <v>810</v>
      </c>
      <c r="F27" s="1112"/>
      <c r="H27" s="738"/>
      <c r="I27" s="1446">
        <f>SUM(J27:N27)</f>
        <v>70523</v>
      </c>
      <c r="J27" s="1099">
        <v>3511</v>
      </c>
      <c r="K27" s="1099">
        <v>1245</v>
      </c>
      <c r="L27" s="1099">
        <v>65767</v>
      </c>
      <c r="M27" s="740"/>
      <c r="N27" s="742"/>
    </row>
    <row r="28" spans="1:16" s="743" customFormat="1" ht="18" customHeight="1" x14ac:dyDescent="0.3">
      <c r="A28" s="716">
        <v>20</v>
      </c>
      <c r="B28" s="734"/>
      <c r="C28" s="735"/>
      <c r="D28" s="910" t="s">
        <v>652</v>
      </c>
      <c r="E28" s="1114"/>
      <c r="F28" s="756"/>
      <c r="G28" s="1365"/>
      <c r="H28" s="738"/>
      <c r="I28" s="299">
        <f>SUM(J28:Q28)</f>
        <v>0</v>
      </c>
      <c r="J28" s="1105"/>
      <c r="K28" s="1105"/>
      <c r="L28" s="1105"/>
      <c r="M28" s="740"/>
      <c r="N28" s="742"/>
    </row>
    <row r="29" spans="1:16" s="743" customFormat="1" ht="18" customHeight="1" x14ac:dyDescent="0.3">
      <c r="A29" s="716">
        <v>21</v>
      </c>
      <c r="B29" s="734"/>
      <c r="C29" s="735"/>
      <c r="D29" s="377" t="s">
        <v>858</v>
      </c>
      <c r="F29" s="1113"/>
      <c r="H29" s="738"/>
      <c r="I29" s="443">
        <f>SUM(J29:Q29)</f>
        <v>70523</v>
      </c>
      <c r="J29" s="1099">
        <f>SUM(J27:J28)</f>
        <v>3511</v>
      </c>
      <c r="K29" s="1099">
        <f t="shared" ref="K29:L29" si="0">SUM(K27:K28)</f>
        <v>1245</v>
      </c>
      <c r="L29" s="1099">
        <f t="shared" si="0"/>
        <v>65767</v>
      </c>
      <c r="M29" s="1099"/>
      <c r="N29" s="1104"/>
    </row>
    <row r="30" spans="1:16" s="733" customFormat="1" ht="22.5" customHeight="1" x14ac:dyDescent="0.3">
      <c r="A30" s="716">
        <v>22</v>
      </c>
      <c r="B30" s="744"/>
      <c r="C30" s="745">
        <v>5</v>
      </c>
      <c r="D30" s="746" t="s">
        <v>12</v>
      </c>
      <c r="E30" s="736">
        <v>18833</v>
      </c>
      <c r="F30" s="736">
        <v>32429</v>
      </c>
      <c r="G30" s="737">
        <v>29901</v>
      </c>
      <c r="H30" s="738" t="s">
        <v>24</v>
      </c>
      <c r="I30" s="751"/>
      <c r="J30" s="752"/>
      <c r="K30" s="752"/>
      <c r="L30" s="752"/>
      <c r="M30" s="752"/>
      <c r="N30" s="753"/>
      <c r="O30" s="743"/>
      <c r="P30" s="743"/>
    </row>
    <row r="31" spans="1:16" s="761" customFormat="1" ht="18" customHeight="1" x14ac:dyDescent="0.3">
      <c r="A31" s="716">
        <v>23</v>
      </c>
      <c r="B31" s="757"/>
      <c r="C31" s="758"/>
      <c r="D31" s="241" t="s">
        <v>245</v>
      </c>
      <c r="E31" s="759"/>
      <c r="F31" s="759"/>
      <c r="G31" s="1366"/>
      <c r="H31" s="760"/>
      <c r="I31" s="739">
        <f>SUM(J31:N31)</f>
        <v>32128</v>
      </c>
      <c r="J31" s="741">
        <f>12704+383</f>
        <v>13087</v>
      </c>
      <c r="K31" s="741">
        <f>2483+656</f>
        <v>3139</v>
      </c>
      <c r="L31" s="741">
        <f>14463+1089</f>
        <v>15552</v>
      </c>
      <c r="M31" s="741"/>
      <c r="N31" s="750">
        <v>350</v>
      </c>
    </row>
    <row r="32" spans="1:16" s="761" customFormat="1" ht="18" customHeight="1" x14ac:dyDescent="0.3">
      <c r="A32" s="716">
        <v>24</v>
      </c>
      <c r="B32" s="757"/>
      <c r="C32" s="758"/>
      <c r="D32" s="377" t="s">
        <v>810</v>
      </c>
      <c r="E32" s="759"/>
      <c r="F32" s="759"/>
      <c r="G32" s="1366"/>
      <c r="H32" s="760"/>
      <c r="I32" s="1446">
        <f>SUM(J32:N32)</f>
        <v>33082</v>
      </c>
      <c r="J32" s="1099">
        <v>13931</v>
      </c>
      <c r="K32" s="1099">
        <v>3249</v>
      </c>
      <c r="L32" s="1099">
        <v>15552</v>
      </c>
      <c r="M32" s="1099"/>
      <c r="N32" s="1104">
        <v>350</v>
      </c>
    </row>
    <row r="33" spans="1:16" s="761" customFormat="1" ht="18" customHeight="1" x14ac:dyDescent="0.3">
      <c r="A33" s="716">
        <v>25</v>
      </c>
      <c r="B33" s="757"/>
      <c r="C33" s="758"/>
      <c r="D33" s="910" t="s">
        <v>652</v>
      </c>
      <c r="E33" s="759"/>
      <c r="F33" s="759"/>
      <c r="G33" s="1366"/>
      <c r="H33" s="760"/>
      <c r="I33" s="299">
        <f>SUM(J33:Q33)</f>
        <v>0</v>
      </c>
      <c r="J33" s="1105"/>
      <c r="K33" s="1105"/>
      <c r="L33" s="741"/>
      <c r="M33" s="741"/>
      <c r="N33" s="750"/>
    </row>
    <row r="34" spans="1:16" s="761" customFormat="1" ht="18" customHeight="1" x14ac:dyDescent="0.3">
      <c r="A34" s="716">
        <v>26</v>
      </c>
      <c r="B34" s="757"/>
      <c r="C34" s="758"/>
      <c r="D34" s="377" t="s">
        <v>858</v>
      </c>
      <c r="E34" s="759"/>
      <c r="F34" s="759"/>
      <c r="G34" s="1366"/>
      <c r="H34" s="760"/>
      <c r="I34" s="443">
        <f>SUM(J34:Q34)</f>
        <v>33082</v>
      </c>
      <c r="J34" s="1099">
        <f>SUM(J32:J33)</f>
        <v>13931</v>
      </c>
      <c r="K34" s="1099">
        <f t="shared" ref="K34:N34" si="1">SUM(K32:K33)</f>
        <v>3249</v>
      </c>
      <c r="L34" s="1099">
        <f t="shared" si="1"/>
        <v>15552</v>
      </c>
      <c r="M34" s="1099"/>
      <c r="N34" s="1104">
        <f t="shared" si="1"/>
        <v>350</v>
      </c>
    </row>
    <row r="35" spans="1:16" s="761" customFormat="1" ht="22.5" customHeight="1" x14ac:dyDescent="0.3">
      <c r="A35" s="716">
        <v>27</v>
      </c>
      <c r="B35" s="757"/>
      <c r="C35" s="745">
        <v>6</v>
      </c>
      <c r="D35" s="746" t="s">
        <v>357</v>
      </c>
      <c r="E35" s="736"/>
      <c r="F35" s="736">
        <v>34500</v>
      </c>
      <c r="G35" s="736">
        <v>9365</v>
      </c>
      <c r="H35" s="738" t="s">
        <v>24</v>
      </c>
      <c r="I35" s="739"/>
      <c r="J35" s="741"/>
      <c r="K35" s="741"/>
      <c r="L35" s="741"/>
      <c r="M35" s="741"/>
      <c r="N35" s="750"/>
    </row>
    <row r="36" spans="1:16" s="761" customFormat="1" ht="18" customHeight="1" x14ac:dyDescent="0.3">
      <c r="A36" s="716">
        <v>28</v>
      </c>
      <c r="B36" s="757"/>
      <c r="C36" s="745"/>
      <c r="D36" s="241" t="s">
        <v>245</v>
      </c>
      <c r="E36" s="736"/>
      <c r="F36" s="736"/>
      <c r="G36" s="737"/>
      <c r="H36" s="760"/>
      <c r="I36" s="739">
        <f>SUM(J36:N36)</f>
        <v>43775</v>
      </c>
      <c r="J36" s="741"/>
      <c r="K36" s="741"/>
      <c r="L36" s="741">
        <v>43775</v>
      </c>
      <c r="M36" s="741"/>
      <c r="N36" s="750"/>
    </row>
    <row r="37" spans="1:16" s="761" customFormat="1" ht="18" customHeight="1" x14ac:dyDescent="0.3">
      <c r="A37" s="716">
        <v>29</v>
      </c>
      <c r="B37" s="757"/>
      <c r="C37" s="745"/>
      <c r="D37" s="377" t="s">
        <v>810</v>
      </c>
      <c r="E37" s="736"/>
      <c r="F37" s="736"/>
      <c r="G37" s="737"/>
      <c r="H37" s="760"/>
      <c r="I37" s="1446">
        <f>SUM(J37:N37)</f>
        <v>43775</v>
      </c>
      <c r="J37" s="1099"/>
      <c r="K37" s="1099"/>
      <c r="L37" s="1099">
        <v>43775</v>
      </c>
      <c r="M37" s="741"/>
      <c r="N37" s="750"/>
    </row>
    <row r="38" spans="1:16" s="761" customFormat="1" ht="18" customHeight="1" x14ac:dyDescent="0.3">
      <c r="A38" s="716">
        <v>30</v>
      </c>
      <c r="B38" s="757"/>
      <c r="C38" s="745"/>
      <c r="D38" s="910" t="s">
        <v>652</v>
      </c>
      <c r="E38" s="736"/>
      <c r="F38" s="736"/>
      <c r="G38" s="737"/>
      <c r="H38" s="760"/>
      <c r="I38" s="299">
        <f>SUM(J38:Q38)</f>
        <v>0</v>
      </c>
      <c r="J38" s="741"/>
      <c r="K38" s="741"/>
      <c r="L38" s="741"/>
      <c r="M38" s="741"/>
      <c r="N38" s="750"/>
    </row>
    <row r="39" spans="1:16" s="761" customFormat="1" ht="18" customHeight="1" x14ac:dyDescent="0.3">
      <c r="A39" s="716">
        <v>31</v>
      </c>
      <c r="B39" s="757"/>
      <c r="C39" s="745"/>
      <c r="D39" s="377" t="s">
        <v>858</v>
      </c>
      <c r="E39" s="736"/>
      <c r="F39" s="736"/>
      <c r="G39" s="737"/>
      <c r="H39" s="760"/>
      <c r="I39" s="443">
        <f>SUM(J39:Q39)</f>
        <v>43775</v>
      </c>
      <c r="J39" s="741"/>
      <c r="K39" s="741"/>
      <c r="L39" s="1099">
        <f>SUM(L37:L38)</f>
        <v>43775</v>
      </c>
      <c r="M39" s="741"/>
      <c r="N39" s="750"/>
    </row>
    <row r="40" spans="1:16" s="733" customFormat="1" ht="22.5" customHeight="1" x14ac:dyDescent="0.3">
      <c r="A40" s="716">
        <v>32</v>
      </c>
      <c r="B40" s="744"/>
      <c r="C40" s="745">
        <v>7</v>
      </c>
      <c r="D40" s="746" t="s">
        <v>10</v>
      </c>
      <c r="E40" s="736">
        <f>SUM(E45,E50,E55,E60,E65)+E70+E75</f>
        <v>122000</v>
      </c>
      <c r="F40" s="736">
        <f>SUM(F45,F50,F55,F60,F65)+F70+F75+F86+F91+F96</f>
        <v>203000</v>
      </c>
      <c r="G40" s="736">
        <f>SUM(G45,G50,G55,G60,G65)+G70+G75+G86+G91+G96</f>
        <v>195000</v>
      </c>
      <c r="H40" s="738" t="s">
        <v>24</v>
      </c>
      <c r="I40" s="751"/>
      <c r="J40" s="752"/>
      <c r="K40" s="752"/>
      <c r="L40" s="752"/>
      <c r="M40" s="752"/>
      <c r="N40" s="753"/>
      <c r="O40" s="743"/>
      <c r="P40" s="743"/>
    </row>
    <row r="41" spans="1:16" s="743" customFormat="1" ht="18" customHeight="1" x14ac:dyDescent="0.3">
      <c r="A41" s="716">
        <v>33</v>
      </c>
      <c r="B41" s="734"/>
      <c r="C41" s="735"/>
      <c r="D41" s="241" t="s">
        <v>245</v>
      </c>
      <c r="E41" s="736"/>
      <c r="F41" s="736"/>
      <c r="G41" s="737"/>
      <c r="H41" s="738"/>
      <c r="I41" s="739">
        <f>SUM(J41:N41)</f>
        <v>276000</v>
      </c>
      <c r="J41" s="741">
        <f>SUM(J51,J71,)+J46+J56+J61+J66+J87+J92+J97+J77+J82</f>
        <v>0</v>
      </c>
      <c r="K41" s="741">
        <f t="shared" ref="K41:N41" si="2">SUM(K51,K71,)+K46+K56+K61+K66+K87+K92+K97+K77+K82</f>
        <v>0</v>
      </c>
      <c r="L41" s="741">
        <f t="shared" si="2"/>
        <v>0</v>
      </c>
      <c r="M41" s="741">
        <f t="shared" si="2"/>
        <v>0</v>
      </c>
      <c r="N41" s="750">
        <f t="shared" si="2"/>
        <v>276000</v>
      </c>
    </row>
    <row r="42" spans="1:16" s="743" customFormat="1" ht="18" customHeight="1" x14ac:dyDescent="0.3">
      <c r="A42" s="716">
        <v>34</v>
      </c>
      <c r="B42" s="734"/>
      <c r="C42" s="735"/>
      <c r="D42" s="377" t="s">
        <v>810</v>
      </c>
      <c r="E42" s="736"/>
      <c r="F42" s="736"/>
      <c r="G42" s="737"/>
      <c r="H42" s="738"/>
      <c r="I42" s="1446">
        <f>SUM(J42:N42)</f>
        <v>308500</v>
      </c>
      <c r="J42" s="1099">
        <f>J47+J52+J57+J62+J67+J72+J78+J83+J88+J93+J98+J102</f>
        <v>0</v>
      </c>
      <c r="K42" s="1099">
        <f t="shared" ref="K42:N42" si="3">K47+K52+K57+K62+K67+K72+K78+K83+K88+K93+K98+K102</f>
        <v>0</v>
      </c>
      <c r="L42" s="1099">
        <f t="shared" si="3"/>
        <v>0</v>
      </c>
      <c r="M42" s="1099">
        <f t="shared" si="3"/>
        <v>0</v>
      </c>
      <c r="N42" s="1104">
        <f t="shared" si="3"/>
        <v>308500</v>
      </c>
    </row>
    <row r="43" spans="1:16" s="743" customFormat="1" ht="18" customHeight="1" x14ac:dyDescent="0.3">
      <c r="A43" s="716">
        <v>35</v>
      </c>
      <c r="B43" s="734"/>
      <c r="C43" s="735"/>
      <c r="D43" s="910" t="s">
        <v>652</v>
      </c>
      <c r="E43" s="736"/>
      <c r="F43" s="736"/>
      <c r="G43" s="737"/>
      <c r="H43" s="738"/>
      <c r="I43" s="299">
        <f>SUM(J43:Q43)</f>
        <v>-2350</v>
      </c>
      <c r="J43" s="1105">
        <f>SUM(J53,J73,)+J48+J58+J63+J68+J89+J94+J99+J79+J84+J103</f>
        <v>0</v>
      </c>
      <c r="K43" s="1105">
        <f t="shared" ref="K43:M43" si="4">SUM(K53,K73,)+K48+K58+K63+K68+K89+K94+K99+K79+K84+K103</f>
        <v>0</v>
      </c>
      <c r="L43" s="1105">
        <f t="shared" si="4"/>
        <v>0</v>
      </c>
      <c r="M43" s="1105">
        <f t="shared" si="4"/>
        <v>0</v>
      </c>
      <c r="N43" s="1115">
        <f>SUM(N53,N73,)+N48+N58+N63+N68+N89+N94+N99+N79+N84+N103</f>
        <v>-2350</v>
      </c>
    </row>
    <row r="44" spans="1:16" s="743" customFormat="1" ht="18" customHeight="1" x14ac:dyDescent="0.3">
      <c r="A44" s="716">
        <v>36</v>
      </c>
      <c r="B44" s="734"/>
      <c r="C44" s="735"/>
      <c r="D44" s="377" t="s">
        <v>858</v>
      </c>
      <c r="E44" s="736"/>
      <c r="F44" s="736"/>
      <c r="G44" s="737"/>
      <c r="H44" s="738"/>
      <c r="I44" s="443">
        <f>SUM(J44:Q44)</f>
        <v>306150</v>
      </c>
      <c r="J44" s="1099">
        <f>SUM(J42:J43)</f>
        <v>0</v>
      </c>
      <c r="K44" s="1099">
        <f t="shared" ref="K44:N44" si="5">SUM(K42:K43)</f>
        <v>0</v>
      </c>
      <c r="L44" s="1099">
        <f t="shared" si="5"/>
        <v>0</v>
      </c>
      <c r="M44" s="1099">
        <f t="shared" si="5"/>
        <v>0</v>
      </c>
      <c r="N44" s="1104">
        <f t="shared" si="5"/>
        <v>306150</v>
      </c>
    </row>
    <row r="45" spans="1:16" s="768" customFormat="1" ht="18" customHeight="1" x14ac:dyDescent="0.3">
      <c r="A45" s="716">
        <v>37</v>
      </c>
      <c r="B45" s="762"/>
      <c r="C45" s="763"/>
      <c r="D45" s="131" t="s">
        <v>419</v>
      </c>
      <c r="E45" s="736">
        <v>40000</v>
      </c>
      <c r="F45" s="736">
        <v>40000</v>
      </c>
      <c r="G45" s="737">
        <v>40000</v>
      </c>
      <c r="H45" s="764"/>
      <c r="I45" s="765"/>
      <c r="J45" s="766"/>
      <c r="K45" s="766"/>
      <c r="L45" s="766"/>
      <c r="M45" s="766"/>
      <c r="N45" s="767"/>
      <c r="P45" s="743"/>
    </row>
    <row r="46" spans="1:16" s="768" customFormat="1" ht="18" customHeight="1" x14ac:dyDescent="0.3">
      <c r="A46" s="716">
        <v>38</v>
      </c>
      <c r="B46" s="762"/>
      <c r="C46" s="763"/>
      <c r="D46" s="276" t="s">
        <v>245</v>
      </c>
      <c r="E46" s="736"/>
      <c r="F46" s="736"/>
      <c r="G46" s="737"/>
      <c r="H46" s="764"/>
      <c r="I46" s="769">
        <f>SUM(J46:N46)</f>
        <v>30000</v>
      </c>
      <c r="J46" s="766"/>
      <c r="K46" s="766"/>
      <c r="L46" s="766"/>
      <c r="M46" s="766"/>
      <c r="N46" s="767">
        <v>30000</v>
      </c>
      <c r="P46" s="743"/>
    </row>
    <row r="47" spans="1:16" s="768" customFormat="1" ht="18" customHeight="1" x14ac:dyDescent="0.3">
      <c r="A47" s="716">
        <v>39</v>
      </c>
      <c r="B47" s="762"/>
      <c r="C47" s="763"/>
      <c r="D47" s="792" t="s">
        <v>810</v>
      </c>
      <c r="E47" s="736"/>
      <c r="F47" s="736"/>
      <c r="G47" s="737"/>
      <c r="H47" s="764"/>
      <c r="I47" s="1448">
        <f>SUM(J47:N47)</f>
        <v>30000</v>
      </c>
      <c r="J47" s="1105"/>
      <c r="K47" s="1105"/>
      <c r="L47" s="1105"/>
      <c r="M47" s="1105"/>
      <c r="N47" s="1115">
        <v>30000</v>
      </c>
      <c r="P47" s="743"/>
    </row>
    <row r="48" spans="1:16" s="768" customFormat="1" ht="18" customHeight="1" x14ac:dyDescent="0.3">
      <c r="A48" s="716">
        <v>40</v>
      </c>
      <c r="B48" s="762"/>
      <c r="C48" s="763"/>
      <c r="D48" s="792" t="s">
        <v>652</v>
      </c>
      <c r="E48" s="736"/>
      <c r="F48" s="736"/>
      <c r="G48" s="737"/>
      <c r="H48" s="764"/>
      <c r="I48" s="299">
        <f>SUM(J48:Q48)</f>
        <v>0</v>
      </c>
      <c r="J48" s="766"/>
      <c r="K48" s="766"/>
      <c r="L48" s="766"/>
      <c r="M48" s="766"/>
      <c r="N48" s="767"/>
      <c r="P48" s="743"/>
    </row>
    <row r="49" spans="1:16" s="768" customFormat="1" ht="18" customHeight="1" x14ac:dyDescent="0.3">
      <c r="A49" s="716">
        <v>41</v>
      </c>
      <c r="B49" s="762"/>
      <c r="C49" s="763"/>
      <c r="D49" s="792" t="s">
        <v>858</v>
      </c>
      <c r="E49" s="736"/>
      <c r="F49" s="736"/>
      <c r="G49" s="737"/>
      <c r="H49" s="764"/>
      <c r="I49" s="296">
        <f>SUM(J49:Q49)</f>
        <v>30000</v>
      </c>
      <c r="J49" s="1105"/>
      <c r="K49" s="1105"/>
      <c r="L49" s="1105"/>
      <c r="M49" s="1105"/>
      <c r="N49" s="1115">
        <f>SUM(N47:N48)</f>
        <v>30000</v>
      </c>
      <c r="P49" s="743"/>
    </row>
    <row r="50" spans="1:16" s="768" customFormat="1" ht="18" customHeight="1" x14ac:dyDescent="0.3">
      <c r="A50" s="716">
        <v>42</v>
      </c>
      <c r="B50" s="762"/>
      <c r="C50" s="763"/>
      <c r="D50" s="131" t="s">
        <v>43</v>
      </c>
      <c r="E50" s="736">
        <v>20000</v>
      </c>
      <c r="F50" s="736"/>
      <c r="G50" s="737"/>
      <c r="H50" s="764"/>
      <c r="I50" s="770"/>
      <c r="J50" s="771"/>
      <c r="K50" s="771"/>
      <c r="L50" s="771"/>
      <c r="M50" s="771"/>
      <c r="N50" s="772"/>
      <c r="P50" s="743"/>
    </row>
    <row r="51" spans="1:16" s="768" customFormat="1" ht="18" customHeight="1" x14ac:dyDescent="0.3">
      <c r="A51" s="716">
        <v>43</v>
      </c>
      <c r="B51" s="762"/>
      <c r="C51" s="735"/>
      <c r="D51" s="276" t="s">
        <v>245</v>
      </c>
      <c r="E51" s="736"/>
      <c r="F51" s="736"/>
      <c r="G51" s="737"/>
      <c r="H51" s="764"/>
      <c r="I51" s="769">
        <f>SUM(J51:N51)</f>
        <v>50000</v>
      </c>
      <c r="J51" s="766"/>
      <c r="K51" s="766"/>
      <c r="L51" s="766"/>
      <c r="M51" s="766"/>
      <c r="N51" s="767">
        <v>50000</v>
      </c>
      <c r="P51" s="743"/>
    </row>
    <row r="52" spans="1:16" s="768" customFormat="1" ht="18" customHeight="1" x14ac:dyDescent="0.3">
      <c r="A52" s="716">
        <v>44</v>
      </c>
      <c r="B52" s="762"/>
      <c r="C52" s="735"/>
      <c r="D52" s="792" t="s">
        <v>810</v>
      </c>
      <c r="E52" s="736"/>
      <c r="F52" s="736"/>
      <c r="G52" s="737"/>
      <c r="H52" s="764"/>
      <c r="I52" s="1448">
        <f>SUM(J52:N52)</f>
        <v>75000</v>
      </c>
      <c r="J52" s="1105"/>
      <c r="K52" s="1105"/>
      <c r="L52" s="1105"/>
      <c r="M52" s="1105"/>
      <c r="N52" s="1115">
        <v>75000</v>
      </c>
      <c r="P52" s="743"/>
    </row>
    <row r="53" spans="1:16" s="768" customFormat="1" ht="18" customHeight="1" x14ac:dyDescent="0.3">
      <c r="A53" s="716">
        <v>45</v>
      </c>
      <c r="B53" s="762"/>
      <c r="C53" s="735"/>
      <c r="D53" s="792" t="s">
        <v>909</v>
      </c>
      <c r="E53" s="736"/>
      <c r="F53" s="736"/>
      <c r="G53" s="737"/>
      <c r="H53" s="764"/>
      <c r="I53" s="299">
        <f>SUM(J53:Q53)</f>
        <v>-11350</v>
      </c>
      <c r="J53" s="766"/>
      <c r="K53" s="766"/>
      <c r="L53" s="766"/>
      <c r="M53" s="766"/>
      <c r="N53" s="1115">
        <v>-11350</v>
      </c>
      <c r="P53" s="743"/>
    </row>
    <row r="54" spans="1:16" s="768" customFormat="1" ht="18" customHeight="1" x14ac:dyDescent="0.3">
      <c r="A54" s="716">
        <v>46</v>
      </c>
      <c r="B54" s="762"/>
      <c r="C54" s="735"/>
      <c r="D54" s="792" t="s">
        <v>858</v>
      </c>
      <c r="E54" s="736"/>
      <c r="F54" s="736"/>
      <c r="G54" s="737"/>
      <c r="H54" s="764"/>
      <c r="I54" s="299">
        <f>SUM(J54:Q54)</f>
        <v>63650</v>
      </c>
      <c r="J54" s="1105"/>
      <c r="K54" s="1105"/>
      <c r="L54" s="1105"/>
      <c r="M54" s="1105"/>
      <c r="N54" s="1115">
        <f>SUM(N52:N53)</f>
        <v>63650</v>
      </c>
      <c r="P54" s="743"/>
    </row>
    <row r="55" spans="1:16" s="768" customFormat="1" ht="18" customHeight="1" x14ac:dyDescent="0.3">
      <c r="A55" s="716">
        <v>47</v>
      </c>
      <c r="B55" s="762"/>
      <c r="C55" s="763"/>
      <c r="D55" s="131" t="s">
        <v>44</v>
      </c>
      <c r="E55" s="736">
        <v>5000</v>
      </c>
      <c r="F55" s="736">
        <v>20000</v>
      </c>
      <c r="G55" s="737">
        <v>20000</v>
      </c>
      <c r="H55" s="764"/>
      <c r="I55" s="770"/>
      <c r="J55" s="771"/>
      <c r="K55" s="771"/>
      <c r="L55" s="771"/>
      <c r="M55" s="771"/>
      <c r="N55" s="772"/>
      <c r="P55" s="743"/>
    </row>
    <row r="56" spans="1:16" s="768" customFormat="1" ht="18" customHeight="1" x14ac:dyDescent="0.3">
      <c r="A56" s="716">
        <v>48</v>
      </c>
      <c r="B56" s="762"/>
      <c r="C56" s="763"/>
      <c r="D56" s="276" t="s">
        <v>245</v>
      </c>
      <c r="E56" s="736"/>
      <c r="F56" s="736"/>
      <c r="G56" s="737"/>
      <c r="H56" s="764"/>
      <c r="I56" s="769">
        <f>SUM(J56:N56)</f>
        <v>20000</v>
      </c>
      <c r="J56" s="771"/>
      <c r="K56" s="771"/>
      <c r="L56" s="771"/>
      <c r="M56" s="771"/>
      <c r="N56" s="772">
        <v>20000</v>
      </c>
      <c r="P56" s="743"/>
    </row>
    <row r="57" spans="1:16" s="768" customFormat="1" ht="18" customHeight="1" x14ac:dyDescent="0.3">
      <c r="A57" s="716">
        <v>49</v>
      </c>
      <c r="B57" s="762"/>
      <c r="C57" s="763"/>
      <c r="D57" s="792" t="s">
        <v>810</v>
      </c>
      <c r="E57" s="736"/>
      <c r="F57" s="736"/>
      <c r="G57" s="737"/>
      <c r="H57" s="764"/>
      <c r="I57" s="1448">
        <f>SUM(J57:N57)</f>
        <v>20000</v>
      </c>
      <c r="J57" s="1110"/>
      <c r="K57" s="1110"/>
      <c r="L57" s="1110"/>
      <c r="M57" s="1110"/>
      <c r="N57" s="1116">
        <v>20000</v>
      </c>
      <c r="P57" s="743"/>
    </row>
    <row r="58" spans="1:16" s="768" customFormat="1" ht="18" customHeight="1" x14ac:dyDescent="0.3">
      <c r="A58" s="716">
        <v>50</v>
      </c>
      <c r="B58" s="762"/>
      <c r="C58" s="763"/>
      <c r="D58" s="792" t="s">
        <v>652</v>
      </c>
      <c r="E58" s="736"/>
      <c r="F58" s="736"/>
      <c r="G58" s="737"/>
      <c r="H58" s="764"/>
      <c r="I58" s="299">
        <f>SUM(J58:Q58)</f>
        <v>0</v>
      </c>
      <c r="J58" s="771"/>
      <c r="K58" s="771"/>
      <c r="L58" s="771"/>
      <c r="M58" s="771"/>
      <c r="N58" s="772"/>
      <c r="P58" s="743"/>
    </row>
    <row r="59" spans="1:16" s="768" customFormat="1" ht="18" customHeight="1" x14ac:dyDescent="0.3">
      <c r="A59" s="716">
        <v>51</v>
      </c>
      <c r="B59" s="762"/>
      <c r="C59" s="763"/>
      <c r="D59" s="792" t="s">
        <v>858</v>
      </c>
      <c r="E59" s="736"/>
      <c r="F59" s="736"/>
      <c r="G59" s="737"/>
      <c r="H59" s="764"/>
      <c r="I59" s="299">
        <f>SUM(J59:Q59)</f>
        <v>20000</v>
      </c>
      <c r="J59" s="1110"/>
      <c r="K59" s="1110"/>
      <c r="L59" s="1110"/>
      <c r="M59" s="1110"/>
      <c r="N59" s="1116">
        <f>SUM(N57:N58)</f>
        <v>20000</v>
      </c>
      <c r="P59" s="743"/>
    </row>
    <row r="60" spans="1:16" s="768" customFormat="1" ht="18" customHeight="1" x14ac:dyDescent="0.3">
      <c r="A60" s="716">
        <v>52</v>
      </c>
      <c r="B60" s="762"/>
      <c r="C60" s="763"/>
      <c r="D60" s="131" t="s">
        <v>45</v>
      </c>
      <c r="E60" s="736">
        <v>15000</v>
      </c>
      <c r="F60" s="736">
        <v>30000</v>
      </c>
      <c r="G60" s="737">
        <v>65000</v>
      </c>
      <c r="H60" s="764"/>
      <c r="I60" s="770"/>
      <c r="J60" s="771"/>
      <c r="K60" s="771"/>
      <c r="L60" s="771"/>
      <c r="M60" s="771"/>
      <c r="N60" s="772"/>
      <c r="P60" s="743"/>
    </row>
    <row r="61" spans="1:16" s="768" customFormat="1" ht="18" customHeight="1" x14ac:dyDescent="0.3">
      <c r="A61" s="716">
        <v>53</v>
      </c>
      <c r="B61" s="762"/>
      <c r="C61" s="763"/>
      <c r="D61" s="276" t="s">
        <v>245</v>
      </c>
      <c r="E61" s="736"/>
      <c r="F61" s="736"/>
      <c r="G61" s="737"/>
      <c r="H61" s="764"/>
      <c r="I61" s="769">
        <f>SUM(J61:N61)</f>
        <v>65000</v>
      </c>
      <c r="J61" s="771"/>
      <c r="K61" s="771"/>
      <c r="L61" s="771"/>
      <c r="M61" s="771"/>
      <c r="N61" s="772">
        <v>65000</v>
      </c>
      <c r="P61" s="743"/>
    </row>
    <row r="62" spans="1:16" s="768" customFormat="1" ht="18" customHeight="1" x14ac:dyDescent="0.3">
      <c r="A62" s="716">
        <v>54</v>
      </c>
      <c r="B62" s="762"/>
      <c r="C62" s="763"/>
      <c r="D62" s="792" t="s">
        <v>810</v>
      </c>
      <c r="E62" s="736"/>
      <c r="F62" s="736"/>
      <c r="G62" s="737"/>
      <c r="H62" s="764"/>
      <c r="I62" s="1448">
        <f>SUM(J62:N62)</f>
        <v>65000</v>
      </c>
      <c r="J62" s="1110"/>
      <c r="K62" s="1110"/>
      <c r="L62" s="1110"/>
      <c r="M62" s="1110"/>
      <c r="N62" s="1116">
        <v>65000</v>
      </c>
      <c r="P62" s="743"/>
    </row>
    <row r="63" spans="1:16" s="768" customFormat="1" ht="18" customHeight="1" x14ac:dyDescent="0.3">
      <c r="A63" s="716">
        <v>55</v>
      </c>
      <c r="B63" s="762"/>
      <c r="C63" s="763"/>
      <c r="D63" s="792" t="s">
        <v>909</v>
      </c>
      <c r="E63" s="736"/>
      <c r="F63" s="736"/>
      <c r="G63" s="737"/>
      <c r="H63" s="764"/>
      <c r="I63" s="299">
        <f>SUM(J63:Q63)</f>
        <v>9000</v>
      </c>
      <c r="J63" s="771"/>
      <c r="K63" s="771"/>
      <c r="L63" s="771"/>
      <c r="M63" s="771"/>
      <c r="N63" s="1116">
        <v>9000</v>
      </c>
      <c r="P63" s="743"/>
    </row>
    <row r="64" spans="1:16" s="768" customFormat="1" ht="18" customHeight="1" x14ac:dyDescent="0.3">
      <c r="A64" s="716">
        <v>56</v>
      </c>
      <c r="B64" s="762"/>
      <c r="C64" s="763"/>
      <c r="D64" s="792" t="s">
        <v>858</v>
      </c>
      <c r="E64" s="736"/>
      <c r="F64" s="736"/>
      <c r="G64" s="737"/>
      <c r="H64" s="764"/>
      <c r="I64" s="299">
        <f>SUM(J64:Q64)</f>
        <v>74000</v>
      </c>
      <c r="J64" s="1110"/>
      <c r="K64" s="1110"/>
      <c r="L64" s="1110"/>
      <c r="M64" s="1110"/>
      <c r="N64" s="1116">
        <f>SUM(N62:N63)</f>
        <v>74000</v>
      </c>
      <c r="P64" s="743"/>
    </row>
    <row r="65" spans="1:14" s="768" customFormat="1" ht="18" customHeight="1" x14ac:dyDescent="0.3">
      <c r="A65" s="716">
        <v>57</v>
      </c>
      <c r="B65" s="762"/>
      <c r="C65" s="735"/>
      <c r="D65" s="131" t="s">
        <v>46</v>
      </c>
      <c r="E65" s="736">
        <v>10000</v>
      </c>
      <c r="F65" s="736">
        <v>40000</v>
      </c>
      <c r="G65" s="737">
        <v>40000</v>
      </c>
      <c r="H65" s="764"/>
      <c r="I65" s="770"/>
      <c r="J65" s="771"/>
      <c r="K65" s="771"/>
      <c r="L65" s="771"/>
      <c r="M65" s="771"/>
      <c r="N65" s="772"/>
    </row>
    <row r="66" spans="1:14" s="768" customFormat="1" ht="18" customHeight="1" x14ac:dyDescent="0.3">
      <c r="A66" s="716">
        <v>58</v>
      </c>
      <c r="B66" s="762"/>
      <c r="C66" s="735"/>
      <c r="D66" s="276" t="s">
        <v>245</v>
      </c>
      <c r="E66" s="736"/>
      <c r="F66" s="736"/>
      <c r="G66" s="737"/>
      <c r="H66" s="764"/>
      <c r="I66" s="769">
        <f>SUM(J66:N66)</f>
        <v>20000</v>
      </c>
      <c r="J66" s="771"/>
      <c r="K66" s="771"/>
      <c r="L66" s="771"/>
      <c r="M66" s="771"/>
      <c r="N66" s="772">
        <v>20000</v>
      </c>
    </row>
    <row r="67" spans="1:14" s="768" customFormat="1" ht="18" customHeight="1" x14ac:dyDescent="0.3">
      <c r="A67" s="716">
        <v>59</v>
      </c>
      <c r="B67" s="762"/>
      <c r="C67" s="735"/>
      <c r="D67" s="792" t="s">
        <v>810</v>
      </c>
      <c r="E67" s="736"/>
      <c r="F67" s="736"/>
      <c r="G67" s="737"/>
      <c r="H67" s="764"/>
      <c r="I67" s="1448">
        <f>SUM(J67:N67)</f>
        <v>50000</v>
      </c>
      <c r="J67" s="1110"/>
      <c r="K67" s="1110"/>
      <c r="L67" s="1110"/>
      <c r="M67" s="1110"/>
      <c r="N67" s="1116">
        <v>50000</v>
      </c>
    </row>
    <row r="68" spans="1:14" s="768" customFormat="1" ht="18" customHeight="1" x14ac:dyDescent="0.3">
      <c r="A68" s="716">
        <v>60</v>
      </c>
      <c r="B68" s="762"/>
      <c r="C68" s="735"/>
      <c r="D68" s="792" t="s">
        <v>652</v>
      </c>
      <c r="E68" s="736"/>
      <c r="F68" s="736"/>
      <c r="G68" s="737"/>
      <c r="H68" s="764"/>
      <c r="I68" s="299">
        <f>SUM(J68:Q68)</f>
        <v>0</v>
      </c>
      <c r="J68" s="771"/>
      <c r="K68" s="771"/>
      <c r="L68" s="771"/>
      <c r="M68" s="771"/>
      <c r="N68" s="1116"/>
    </row>
    <row r="69" spans="1:14" s="768" customFormat="1" ht="18" customHeight="1" x14ac:dyDescent="0.3">
      <c r="A69" s="716">
        <v>61</v>
      </c>
      <c r="B69" s="762"/>
      <c r="C69" s="735"/>
      <c r="D69" s="792" t="s">
        <v>858</v>
      </c>
      <c r="E69" s="736"/>
      <c r="F69" s="736"/>
      <c r="G69" s="737"/>
      <c r="H69" s="764"/>
      <c r="I69" s="299">
        <f>SUM(J69:Q69)</f>
        <v>50000</v>
      </c>
      <c r="J69" s="1110"/>
      <c r="K69" s="1110"/>
      <c r="L69" s="1110"/>
      <c r="M69" s="1110"/>
      <c r="N69" s="1116">
        <f>SUM(N67:N68)</f>
        <v>50000</v>
      </c>
    </row>
    <row r="70" spans="1:14" s="768" customFormat="1" ht="18" customHeight="1" x14ac:dyDescent="0.3">
      <c r="A70" s="716">
        <v>62</v>
      </c>
      <c r="B70" s="762"/>
      <c r="C70" s="735"/>
      <c r="D70" s="131" t="s">
        <v>353</v>
      </c>
      <c r="E70" s="736">
        <v>20000</v>
      </c>
      <c r="F70" s="736">
        <v>20000</v>
      </c>
      <c r="G70" s="737">
        <v>20000</v>
      </c>
      <c r="H70" s="764"/>
      <c r="I70" s="765"/>
      <c r="J70" s="766"/>
      <c r="K70" s="766"/>
      <c r="L70" s="766"/>
      <c r="M70" s="766"/>
      <c r="N70" s="767"/>
    </row>
    <row r="71" spans="1:14" s="768" customFormat="1" ht="18" customHeight="1" x14ac:dyDescent="0.3">
      <c r="A71" s="716">
        <v>63</v>
      </c>
      <c r="B71" s="762"/>
      <c r="C71" s="735"/>
      <c r="D71" s="276" t="s">
        <v>245</v>
      </c>
      <c r="E71" s="736"/>
      <c r="F71" s="736"/>
      <c r="G71" s="737"/>
      <c r="H71" s="764"/>
      <c r="I71" s="769">
        <f>SUM(J71:N71)</f>
        <v>10000</v>
      </c>
      <c r="J71" s="766"/>
      <c r="K71" s="766"/>
      <c r="L71" s="766"/>
      <c r="M71" s="766"/>
      <c r="N71" s="767">
        <v>10000</v>
      </c>
    </row>
    <row r="72" spans="1:14" s="768" customFormat="1" ht="18" customHeight="1" x14ac:dyDescent="0.3">
      <c r="A72" s="716">
        <v>64</v>
      </c>
      <c r="B72" s="762"/>
      <c r="C72" s="735"/>
      <c r="D72" s="792" t="s">
        <v>810</v>
      </c>
      <c r="E72" s="736"/>
      <c r="F72" s="736"/>
      <c r="G72" s="737"/>
      <c r="H72" s="764"/>
      <c r="I72" s="1448">
        <f>SUM(J72:N72)</f>
        <v>10000</v>
      </c>
      <c r="J72" s="1105"/>
      <c r="K72" s="1105"/>
      <c r="L72" s="1105"/>
      <c r="M72" s="1105"/>
      <c r="N72" s="1115">
        <v>10000</v>
      </c>
    </row>
    <row r="73" spans="1:14" s="768" customFormat="1" ht="18" customHeight="1" x14ac:dyDescent="0.3">
      <c r="A73" s="716">
        <v>65</v>
      </c>
      <c r="B73" s="762"/>
      <c r="C73" s="735"/>
      <c r="D73" s="792" t="s">
        <v>652</v>
      </c>
      <c r="E73" s="736"/>
      <c r="F73" s="736"/>
      <c r="G73" s="737"/>
      <c r="H73" s="764"/>
      <c r="I73" s="299">
        <f>SUM(J73:Q73)</f>
        <v>0</v>
      </c>
      <c r="J73" s="766"/>
      <c r="K73" s="766"/>
      <c r="L73" s="766"/>
      <c r="M73" s="766"/>
      <c r="N73" s="767"/>
    </row>
    <row r="74" spans="1:14" s="768" customFormat="1" ht="18" customHeight="1" x14ac:dyDescent="0.3">
      <c r="A74" s="716">
        <v>66</v>
      </c>
      <c r="B74" s="762"/>
      <c r="C74" s="735"/>
      <c r="D74" s="792" t="s">
        <v>858</v>
      </c>
      <c r="E74" s="736"/>
      <c r="F74" s="736"/>
      <c r="G74" s="737"/>
      <c r="H74" s="764"/>
      <c r="I74" s="299">
        <f>SUM(J74:Q74)</f>
        <v>10000</v>
      </c>
      <c r="J74" s="1105"/>
      <c r="K74" s="1105"/>
      <c r="L74" s="1105"/>
      <c r="M74" s="1105"/>
      <c r="N74" s="1115">
        <f>SUM(N72:N73)</f>
        <v>10000</v>
      </c>
    </row>
    <row r="75" spans="1:14" s="768" customFormat="1" ht="18" customHeight="1" x14ac:dyDescent="0.3">
      <c r="A75" s="716">
        <v>67</v>
      </c>
      <c r="B75" s="762"/>
      <c r="C75" s="735"/>
      <c r="D75" s="131" t="s">
        <v>354</v>
      </c>
      <c r="E75" s="736">
        <v>12000</v>
      </c>
      <c r="F75" s="736">
        <v>10000</v>
      </c>
      <c r="G75" s="737">
        <v>10000</v>
      </c>
      <c r="H75" s="764"/>
      <c r="I75" s="765"/>
      <c r="J75" s="766"/>
      <c r="K75" s="766"/>
      <c r="L75" s="766"/>
      <c r="M75" s="766"/>
      <c r="N75" s="767"/>
    </row>
    <row r="76" spans="1:14" s="768" customFormat="1" ht="18" customHeight="1" x14ac:dyDescent="0.3">
      <c r="A76" s="716">
        <v>68</v>
      </c>
      <c r="B76" s="762"/>
      <c r="C76" s="735"/>
      <c r="D76" s="131" t="s">
        <v>559</v>
      </c>
      <c r="E76" s="736"/>
      <c r="F76" s="736"/>
      <c r="G76" s="737"/>
      <c r="H76" s="764"/>
      <c r="I76" s="769"/>
      <c r="J76" s="766"/>
      <c r="K76" s="766"/>
      <c r="L76" s="766"/>
      <c r="M76" s="766"/>
      <c r="N76" s="767"/>
    </row>
    <row r="77" spans="1:14" s="768" customFormat="1" ht="18" customHeight="1" x14ac:dyDescent="0.3">
      <c r="A77" s="716">
        <v>69</v>
      </c>
      <c r="B77" s="762"/>
      <c r="C77" s="735"/>
      <c r="D77" s="276" t="s">
        <v>245</v>
      </c>
      <c r="E77" s="736"/>
      <c r="F77" s="736"/>
      <c r="G77" s="737"/>
      <c r="H77" s="764"/>
      <c r="I77" s="769">
        <f>SUM(J77:N77)</f>
        <v>50000</v>
      </c>
      <c r="J77" s="766"/>
      <c r="K77" s="766"/>
      <c r="L77" s="766"/>
      <c r="M77" s="766"/>
      <c r="N77" s="767">
        <v>50000</v>
      </c>
    </row>
    <row r="78" spans="1:14" s="768" customFormat="1" ht="18" customHeight="1" x14ac:dyDescent="0.3">
      <c r="A78" s="716">
        <v>70</v>
      </c>
      <c r="B78" s="762"/>
      <c r="C78" s="735"/>
      <c r="D78" s="792" t="s">
        <v>810</v>
      </c>
      <c r="E78" s="736"/>
      <c r="F78" s="736"/>
      <c r="G78" s="737"/>
      <c r="H78" s="764"/>
      <c r="I78" s="1448">
        <f>SUM(J78:N78)</f>
        <v>50000</v>
      </c>
      <c r="J78" s="1105"/>
      <c r="K78" s="1105"/>
      <c r="L78" s="1105"/>
      <c r="M78" s="1105"/>
      <c r="N78" s="1115">
        <v>50000</v>
      </c>
    </row>
    <row r="79" spans="1:14" s="768" customFormat="1" ht="18" customHeight="1" x14ac:dyDescent="0.3">
      <c r="A79" s="716">
        <v>71</v>
      </c>
      <c r="B79" s="762"/>
      <c r="C79" s="735"/>
      <c r="D79" s="792" t="s">
        <v>652</v>
      </c>
      <c r="E79" s="736"/>
      <c r="F79" s="736"/>
      <c r="G79" s="737"/>
      <c r="H79" s="764"/>
      <c r="I79" s="299">
        <f>SUM(J79:Q79)</f>
        <v>0</v>
      </c>
      <c r="J79" s="766"/>
      <c r="K79" s="766"/>
      <c r="L79" s="766"/>
      <c r="M79" s="766"/>
      <c r="N79" s="767"/>
    </row>
    <row r="80" spans="1:14" s="768" customFormat="1" ht="18" customHeight="1" x14ac:dyDescent="0.3">
      <c r="A80" s="716">
        <v>72</v>
      </c>
      <c r="B80" s="762"/>
      <c r="C80" s="735"/>
      <c r="D80" s="792" t="s">
        <v>858</v>
      </c>
      <c r="E80" s="736"/>
      <c r="F80" s="736"/>
      <c r="G80" s="737"/>
      <c r="H80" s="764"/>
      <c r="I80" s="299">
        <f>SUM(J80:Q80)</f>
        <v>50000</v>
      </c>
      <c r="J80" s="1105"/>
      <c r="K80" s="1105"/>
      <c r="L80" s="1105"/>
      <c r="M80" s="1105"/>
      <c r="N80" s="1115">
        <f>SUM(N78:N79)</f>
        <v>50000</v>
      </c>
    </row>
    <row r="81" spans="1:14" s="768" customFormat="1" ht="18" customHeight="1" x14ac:dyDescent="0.3">
      <c r="A81" s="716">
        <v>73</v>
      </c>
      <c r="B81" s="762"/>
      <c r="C81" s="735"/>
      <c r="D81" s="131" t="s">
        <v>560</v>
      </c>
      <c r="E81" s="736"/>
      <c r="F81" s="736"/>
      <c r="G81" s="737"/>
      <c r="H81" s="764"/>
      <c r="I81" s="769"/>
      <c r="J81" s="766"/>
      <c r="K81" s="766"/>
      <c r="L81" s="766"/>
      <c r="M81" s="766"/>
      <c r="N81" s="767"/>
    </row>
    <row r="82" spans="1:14" s="768" customFormat="1" ht="18" customHeight="1" x14ac:dyDescent="0.3">
      <c r="A82" s="716">
        <v>74</v>
      </c>
      <c r="B82" s="762"/>
      <c r="C82" s="735"/>
      <c r="D82" s="276" t="s">
        <v>245</v>
      </c>
      <c r="E82" s="736"/>
      <c r="F82" s="736"/>
      <c r="G82" s="737"/>
      <c r="H82" s="764"/>
      <c r="I82" s="769">
        <f>SUM(J82:N82)</f>
        <v>5000</v>
      </c>
      <c r="J82" s="766"/>
      <c r="K82" s="766"/>
      <c r="L82" s="766"/>
      <c r="M82" s="766"/>
      <c r="N82" s="767">
        <v>5000</v>
      </c>
    </row>
    <row r="83" spans="1:14" s="768" customFormat="1" ht="18" customHeight="1" x14ac:dyDescent="0.3">
      <c r="A83" s="716">
        <v>75</v>
      </c>
      <c r="B83" s="762"/>
      <c r="C83" s="735"/>
      <c r="D83" s="792" t="s">
        <v>810</v>
      </c>
      <c r="E83" s="736"/>
      <c r="F83" s="736"/>
      <c r="G83" s="737"/>
      <c r="H83" s="764"/>
      <c r="I83" s="1448">
        <f>SUM(J83:N83)</f>
        <v>5000</v>
      </c>
      <c r="J83" s="1105"/>
      <c r="K83" s="1105"/>
      <c r="L83" s="1105"/>
      <c r="M83" s="1105"/>
      <c r="N83" s="1115">
        <v>5000</v>
      </c>
    </row>
    <row r="84" spans="1:14" s="768" customFormat="1" ht="18" customHeight="1" x14ac:dyDescent="0.3">
      <c r="A84" s="716">
        <v>76</v>
      </c>
      <c r="B84" s="762"/>
      <c r="C84" s="735"/>
      <c r="D84" s="792" t="s">
        <v>652</v>
      </c>
      <c r="E84" s="736"/>
      <c r="F84" s="736"/>
      <c r="G84" s="737"/>
      <c r="H84" s="764"/>
      <c r="I84" s="299">
        <f>SUM(J84:Q84)</f>
        <v>0</v>
      </c>
      <c r="J84" s="766"/>
      <c r="K84" s="766"/>
      <c r="L84" s="766"/>
      <c r="M84" s="766"/>
      <c r="N84" s="767"/>
    </row>
    <row r="85" spans="1:14" s="768" customFormat="1" ht="18" customHeight="1" x14ac:dyDescent="0.3">
      <c r="A85" s="716">
        <v>77</v>
      </c>
      <c r="B85" s="762"/>
      <c r="C85" s="735"/>
      <c r="D85" s="792" t="s">
        <v>858</v>
      </c>
      <c r="E85" s="736"/>
      <c r="F85" s="736"/>
      <c r="G85" s="737"/>
      <c r="H85" s="764"/>
      <c r="I85" s="299">
        <f>SUM(J85:Q85)</f>
        <v>5000</v>
      </c>
      <c r="J85" s="1105"/>
      <c r="K85" s="1105"/>
      <c r="L85" s="1105"/>
      <c r="M85" s="1105"/>
      <c r="N85" s="1115">
        <f>SUM(N83:N84)</f>
        <v>5000</v>
      </c>
    </row>
    <row r="86" spans="1:14" s="768" customFormat="1" ht="18" customHeight="1" x14ac:dyDescent="0.3">
      <c r="A86" s="716">
        <v>78</v>
      </c>
      <c r="B86" s="762"/>
      <c r="C86" s="735"/>
      <c r="D86" s="131" t="s">
        <v>420</v>
      </c>
      <c r="E86" s="736"/>
      <c r="F86" s="736">
        <v>10000</v>
      </c>
      <c r="G86" s="737"/>
      <c r="H86" s="764"/>
      <c r="I86" s="769"/>
      <c r="J86" s="766"/>
      <c r="K86" s="766"/>
      <c r="L86" s="766"/>
      <c r="M86" s="766"/>
      <c r="N86" s="767"/>
    </row>
    <row r="87" spans="1:14" s="768" customFormat="1" ht="18" customHeight="1" x14ac:dyDescent="0.3">
      <c r="A87" s="716">
        <v>79</v>
      </c>
      <c r="B87" s="762"/>
      <c r="C87" s="735"/>
      <c r="D87" s="276" t="s">
        <v>245</v>
      </c>
      <c r="E87" s="736"/>
      <c r="F87" s="736"/>
      <c r="G87" s="737"/>
      <c r="H87" s="764"/>
      <c r="I87" s="769">
        <f>SUM(J87:N87)</f>
        <v>10000</v>
      </c>
      <c r="J87" s="766"/>
      <c r="K87" s="766"/>
      <c r="L87" s="766"/>
      <c r="M87" s="766"/>
      <c r="N87" s="767">
        <v>10000</v>
      </c>
    </row>
    <row r="88" spans="1:14" s="768" customFormat="1" ht="18" customHeight="1" x14ac:dyDescent="0.3">
      <c r="A88" s="716">
        <v>80</v>
      </c>
      <c r="B88" s="762"/>
      <c r="C88" s="735"/>
      <c r="D88" s="792" t="s">
        <v>810</v>
      </c>
      <c r="E88" s="736"/>
      <c r="F88" s="736"/>
      <c r="G88" s="737"/>
      <c r="H88" s="764"/>
      <c r="I88" s="769">
        <f>SUM(J88:N88)</f>
        <v>0</v>
      </c>
      <c r="J88" s="766"/>
      <c r="K88" s="766"/>
      <c r="L88" s="766"/>
      <c r="M88" s="766"/>
      <c r="N88" s="767">
        <v>0</v>
      </c>
    </row>
    <row r="89" spans="1:14" s="768" customFormat="1" ht="18" customHeight="1" x14ac:dyDescent="0.3">
      <c r="A89" s="716">
        <v>81</v>
      </c>
      <c r="B89" s="762"/>
      <c r="C89" s="735"/>
      <c r="D89" s="792" t="s">
        <v>652</v>
      </c>
      <c r="E89" s="736"/>
      <c r="F89" s="736"/>
      <c r="G89" s="737"/>
      <c r="H89" s="764"/>
      <c r="I89" s="299">
        <f>SUM(J89:Q89)</f>
        <v>0</v>
      </c>
      <c r="J89" s="766"/>
      <c r="K89" s="766"/>
      <c r="L89" s="766"/>
      <c r="M89" s="766"/>
      <c r="N89" s="1115"/>
    </row>
    <row r="90" spans="1:14" s="768" customFormat="1" ht="18" customHeight="1" x14ac:dyDescent="0.3">
      <c r="A90" s="716">
        <v>82</v>
      </c>
      <c r="B90" s="762"/>
      <c r="C90" s="735"/>
      <c r="D90" s="792" t="s">
        <v>858</v>
      </c>
      <c r="E90" s="736"/>
      <c r="F90" s="736"/>
      <c r="G90" s="737"/>
      <c r="H90" s="764"/>
      <c r="I90" s="299">
        <f>SUM(J90:Q90)</f>
        <v>0</v>
      </c>
      <c r="J90" s="1105"/>
      <c r="K90" s="1105"/>
      <c r="L90" s="1105"/>
      <c r="M90" s="1105"/>
      <c r="N90" s="1115">
        <f>SUM(N88:N89)</f>
        <v>0</v>
      </c>
    </row>
    <row r="91" spans="1:14" s="768" customFormat="1" ht="18" customHeight="1" x14ac:dyDescent="0.3">
      <c r="A91" s="716">
        <v>83</v>
      </c>
      <c r="B91" s="762"/>
      <c r="C91" s="735"/>
      <c r="D91" s="131" t="s">
        <v>421</v>
      </c>
      <c r="E91" s="736"/>
      <c r="F91" s="736">
        <v>22000</v>
      </c>
      <c r="G91" s="737"/>
      <c r="H91" s="764"/>
      <c r="I91" s="769"/>
      <c r="J91" s="766"/>
      <c r="K91" s="766"/>
      <c r="L91" s="766"/>
      <c r="M91" s="766"/>
      <c r="N91" s="767"/>
    </row>
    <row r="92" spans="1:14" s="768" customFormat="1" ht="18" customHeight="1" x14ac:dyDescent="0.3">
      <c r="A92" s="716">
        <v>84</v>
      </c>
      <c r="B92" s="762"/>
      <c r="C92" s="735"/>
      <c r="D92" s="276" t="s">
        <v>245</v>
      </c>
      <c r="E92" s="736"/>
      <c r="F92" s="736"/>
      <c r="G92" s="737"/>
      <c r="H92" s="764"/>
      <c r="I92" s="769">
        <f>SUM(J92:N92)</f>
        <v>10000</v>
      </c>
      <c r="J92" s="766"/>
      <c r="K92" s="766"/>
      <c r="L92" s="766"/>
      <c r="M92" s="766"/>
      <c r="N92" s="767">
        <v>10000</v>
      </c>
    </row>
    <row r="93" spans="1:14" s="768" customFormat="1" ht="18" customHeight="1" x14ac:dyDescent="0.3">
      <c r="A93" s="716">
        <v>85</v>
      </c>
      <c r="B93" s="762"/>
      <c r="C93" s="735"/>
      <c r="D93" s="792" t="s">
        <v>810</v>
      </c>
      <c r="E93" s="736"/>
      <c r="F93" s="736"/>
      <c r="G93" s="737"/>
      <c r="H93" s="764"/>
      <c r="I93" s="1448">
        <f>SUM(J93:N93)</f>
        <v>0</v>
      </c>
      <c r="J93" s="1105"/>
      <c r="K93" s="1105"/>
      <c r="L93" s="1105"/>
      <c r="M93" s="1105"/>
      <c r="N93" s="1115">
        <v>0</v>
      </c>
    </row>
    <row r="94" spans="1:14" s="768" customFormat="1" ht="18" customHeight="1" x14ac:dyDescent="0.3">
      <c r="A94" s="716">
        <v>86</v>
      </c>
      <c r="B94" s="762"/>
      <c r="C94" s="735"/>
      <c r="D94" s="792" t="s">
        <v>652</v>
      </c>
      <c r="E94" s="736"/>
      <c r="F94" s="736"/>
      <c r="G94" s="737"/>
      <c r="H94" s="764"/>
      <c r="I94" s="299">
        <f>SUM(J94:Q94)</f>
        <v>0</v>
      </c>
      <c r="J94" s="766"/>
      <c r="K94" s="766"/>
      <c r="L94" s="766"/>
      <c r="M94" s="766"/>
      <c r="N94" s="1115"/>
    </row>
    <row r="95" spans="1:14" s="768" customFormat="1" ht="18" customHeight="1" x14ac:dyDescent="0.3">
      <c r="A95" s="716">
        <v>87</v>
      </c>
      <c r="B95" s="762"/>
      <c r="C95" s="735"/>
      <c r="D95" s="792" t="s">
        <v>858</v>
      </c>
      <c r="E95" s="736"/>
      <c r="F95" s="736"/>
      <c r="G95" s="737"/>
      <c r="H95" s="764"/>
      <c r="I95" s="299">
        <f>SUM(J95:Q95)</f>
        <v>0</v>
      </c>
      <c r="J95" s="1105"/>
      <c r="K95" s="1105"/>
      <c r="L95" s="1105"/>
      <c r="M95" s="1105"/>
      <c r="N95" s="1115">
        <f>SUM(N93:N94)</f>
        <v>0</v>
      </c>
    </row>
    <row r="96" spans="1:14" s="768" customFormat="1" ht="18" customHeight="1" x14ac:dyDescent="0.3">
      <c r="A96" s="716">
        <v>88</v>
      </c>
      <c r="B96" s="762"/>
      <c r="C96" s="735"/>
      <c r="D96" s="131" t="s">
        <v>422</v>
      </c>
      <c r="E96" s="736"/>
      <c r="F96" s="736">
        <v>11000</v>
      </c>
      <c r="G96" s="737"/>
      <c r="H96" s="764"/>
      <c r="I96" s="769"/>
      <c r="J96" s="766"/>
      <c r="K96" s="766"/>
      <c r="L96" s="766"/>
      <c r="M96" s="766"/>
      <c r="N96" s="767"/>
    </row>
    <row r="97" spans="1:16" s="768" customFormat="1" ht="18" customHeight="1" x14ac:dyDescent="0.3">
      <c r="A97" s="716">
        <v>89</v>
      </c>
      <c r="B97" s="762"/>
      <c r="C97" s="735"/>
      <c r="D97" s="276" t="s">
        <v>245</v>
      </c>
      <c r="E97" s="736"/>
      <c r="F97" s="736"/>
      <c r="G97" s="737"/>
      <c r="H97" s="764"/>
      <c r="I97" s="769">
        <f>SUM(J97:N97)</f>
        <v>6000</v>
      </c>
      <c r="J97" s="766"/>
      <c r="K97" s="766"/>
      <c r="L97" s="766"/>
      <c r="M97" s="766"/>
      <c r="N97" s="767">
        <v>6000</v>
      </c>
    </row>
    <row r="98" spans="1:16" s="768" customFormat="1" ht="18" customHeight="1" x14ac:dyDescent="0.3">
      <c r="A98" s="716">
        <v>90</v>
      </c>
      <c r="B98" s="762"/>
      <c r="C98" s="735"/>
      <c r="D98" s="792" t="s">
        <v>810</v>
      </c>
      <c r="E98" s="736"/>
      <c r="F98" s="736"/>
      <c r="G98" s="737"/>
      <c r="H98" s="764"/>
      <c r="I98" s="1448">
        <f>SUM(J98:N98)</f>
        <v>0</v>
      </c>
      <c r="J98" s="1105"/>
      <c r="K98" s="1105"/>
      <c r="L98" s="1105"/>
      <c r="M98" s="1105"/>
      <c r="N98" s="1115">
        <v>0</v>
      </c>
    </row>
    <row r="99" spans="1:16" s="768" customFormat="1" ht="18" customHeight="1" x14ac:dyDescent="0.3">
      <c r="A99" s="716">
        <v>91</v>
      </c>
      <c r="B99" s="762"/>
      <c r="C99" s="735"/>
      <c r="D99" s="792" t="s">
        <v>652</v>
      </c>
      <c r="E99" s="736"/>
      <c r="F99" s="736"/>
      <c r="G99" s="737"/>
      <c r="H99" s="764"/>
      <c r="I99" s="299">
        <f>SUM(J99:Q99)</f>
        <v>0</v>
      </c>
      <c r="J99" s="766"/>
      <c r="K99" s="766"/>
      <c r="L99" s="766"/>
      <c r="M99" s="766"/>
      <c r="N99" s="1115"/>
    </row>
    <row r="100" spans="1:16" s="768" customFormat="1" ht="18" customHeight="1" x14ac:dyDescent="0.3">
      <c r="A100" s="716">
        <v>92</v>
      </c>
      <c r="B100" s="762"/>
      <c r="C100" s="735"/>
      <c r="D100" s="792" t="s">
        <v>858</v>
      </c>
      <c r="E100" s="736"/>
      <c r="F100" s="736"/>
      <c r="G100" s="737"/>
      <c r="H100" s="764"/>
      <c r="I100" s="299">
        <f>SUM(J100:Q100)</f>
        <v>0</v>
      </c>
      <c r="J100" s="1105"/>
      <c r="K100" s="1105"/>
      <c r="L100" s="1105"/>
      <c r="M100" s="1105"/>
      <c r="N100" s="1115">
        <f>SUM(N98:N99)</f>
        <v>0</v>
      </c>
    </row>
    <row r="101" spans="1:16" s="768" customFormat="1" ht="18" customHeight="1" x14ac:dyDescent="0.3">
      <c r="A101" s="716">
        <v>93</v>
      </c>
      <c r="B101" s="762"/>
      <c r="C101" s="735"/>
      <c r="D101" s="131" t="s">
        <v>688</v>
      </c>
      <c r="E101" s="736"/>
      <c r="F101" s="736"/>
      <c r="G101" s="737"/>
      <c r="H101" s="764"/>
      <c r="I101" s="913"/>
      <c r="J101" s="1105"/>
      <c r="K101" s="1105"/>
      <c r="L101" s="1105"/>
      <c r="M101" s="1105"/>
      <c r="N101" s="1115"/>
    </row>
    <row r="102" spans="1:16" s="768" customFormat="1" ht="18" customHeight="1" x14ac:dyDescent="0.3">
      <c r="A102" s="716">
        <v>94</v>
      </c>
      <c r="B102" s="762"/>
      <c r="C102" s="735"/>
      <c r="D102" s="792" t="s">
        <v>810</v>
      </c>
      <c r="E102" s="736"/>
      <c r="F102" s="736"/>
      <c r="G102" s="737"/>
      <c r="H102" s="764"/>
      <c r="I102" s="299">
        <f>SUM(J102:N102)</f>
        <v>3500</v>
      </c>
      <c r="J102" s="1105"/>
      <c r="K102" s="1105"/>
      <c r="L102" s="1105"/>
      <c r="M102" s="1105"/>
      <c r="N102" s="1115">
        <v>3500</v>
      </c>
    </row>
    <row r="103" spans="1:16" s="768" customFormat="1" ht="18" customHeight="1" x14ac:dyDescent="0.3">
      <c r="A103" s="716">
        <v>95</v>
      </c>
      <c r="B103" s="762"/>
      <c r="C103" s="735"/>
      <c r="D103" s="792" t="s">
        <v>652</v>
      </c>
      <c r="E103" s="736"/>
      <c r="F103" s="736"/>
      <c r="G103" s="737"/>
      <c r="H103" s="764"/>
      <c r="I103" s="299">
        <f>SUM(J103:N103)</f>
        <v>0</v>
      </c>
      <c r="J103" s="1105"/>
      <c r="K103" s="1105"/>
      <c r="L103" s="1105"/>
      <c r="M103" s="1105"/>
      <c r="N103" s="1115"/>
    </row>
    <row r="104" spans="1:16" s="768" customFormat="1" ht="18" customHeight="1" x14ac:dyDescent="0.3">
      <c r="A104" s="716">
        <v>96</v>
      </c>
      <c r="B104" s="762"/>
      <c r="C104" s="735"/>
      <c r="D104" s="792" t="s">
        <v>858</v>
      </c>
      <c r="E104" s="736"/>
      <c r="F104" s="736"/>
      <c r="G104" s="737"/>
      <c r="H104" s="764"/>
      <c r="I104" s="299">
        <f>SUM(J104:N104)</f>
        <v>3500</v>
      </c>
      <c r="J104" s="1105"/>
      <c r="K104" s="1105"/>
      <c r="L104" s="1105"/>
      <c r="M104" s="1105"/>
      <c r="N104" s="1115">
        <f>SUM(N102:N103)</f>
        <v>3500</v>
      </c>
    </row>
    <row r="105" spans="1:16" s="768" customFormat="1" ht="22.5" customHeight="1" x14ac:dyDescent="0.3">
      <c r="A105" s="716">
        <v>97</v>
      </c>
      <c r="B105" s="762"/>
      <c r="C105" s="745">
        <v>8</v>
      </c>
      <c r="D105" s="746" t="s">
        <v>429</v>
      </c>
      <c r="E105" s="736"/>
      <c r="F105" s="736">
        <v>9300</v>
      </c>
      <c r="G105" s="737">
        <v>9300</v>
      </c>
      <c r="H105" s="738" t="s">
        <v>24</v>
      </c>
      <c r="I105" s="769"/>
      <c r="J105" s="766"/>
      <c r="K105" s="766"/>
      <c r="L105" s="766"/>
      <c r="M105" s="766"/>
      <c r="N105" s="767"/>
    </row>
    <row r="106" spans="1:16" s="768" customFormat="1" ht="18" customHeight="1" x14ac:dyDescent="0.3">
      <c r="A106" s="716">
        <v>98</v>
      </c>
      <c r="B106" s="762"/>
      <c r="C106" s="735"/>
      <c r="D106" s="241" t="s">
        <v>245</v>
      </c>
      <c r="E106" s="736"/>
      <c r="F106" s="736"/>
      <c r="G106" s="737"/>
      <c r="H106" s="764"/>
      <c r="I106" s="739">
        <f>SUM(J106:N106)</f>
        <v>5000</v>
      </c>
      <c r="J106" s="766"/>
      <c r="K106" s="766"/>
      <c r="L106" s="766"/>
      <c r="M106" s="766"/>
      <c r="N106" s="750">
        <v>5000</v>
      </c>
    </row>
    <row r="107" spans="1:16" s="768" customFormat="1" ht="18" customHeight="1" x14ac:dyDescent="0.3">
      <c r="A107" s="716">
        <v>99</v>
      </c>
      <c r="B107" s="762"/>
      <c r="C107" s="735"/>
      <c r="D107" s="377" t="s">
        <v>810</v>
      </c>
      <c r="E107" s="736"/>
      <c r="F107" s="736"/>
      <c r="G107" s="737"/>
      <c r="H107" s="764"/>
      <c r="I107" s="1446">
        <f>SUM(J107:N107)</f>
        <v>5000</v>
      </c>
      <c r="J107" s="1105"/>
      <c r="K107" s="1105"/>
      <c r="L107" s="1105"/>
      <c r="M107" s="1105"/>
      <c r="N107" s="1104">
        <v>5000</v>
      </c>
    </row>
    <row r="108" spans="1:16" s="768" customFormat="1" ht="18" customHeight="1" x14ac:dyDescent="0.3">
      <c r="A108" s="716">
        <v>100</v>
      </c>
      <c r="B108" s="762"/>
      <c r="C108" s="735"/>
      <c r="D108" s="910" t="s">
        <v>652</v>
      </c>
      <c r="E108" s="736"/>
      <c r="F108" s="736"/>
      <c r="G108" s="737"/>
      <c r="H108" s="764"/>
      <c r="I108" s="299">
        <f>SUM(J108:Q108)</f>
        <v>0</v>
      </c>
      <c r="J108" s="766"/>
      <c r="K108" s="766"/>
      <c r="L108" s="766"/>
      <c r="M108" s="766"/>
      <c r="N108" s="750"/>
    </row>
    <row r="109" spans="1:16" s="768" customFormat="1" ht="18" customHeight="1" x14ac:dyDescent="0.3">
      <c r="A109" s="716">
        <v>101</v>
      </c>
      <c r="B109" s="762"/>
      <c r="C109" s="735"/>
      <c r="D109" s="377" t="s">
        <v>858</v>
      </c>
      <c r="E109" s="736"/>
      <c r="F109" s="736"/>
      <c r="G109" s="737"/>
      <c r="H109" s="764"/>
      <c r="I109" s="443">
        <f>SUM(J109:Q109)</f>
        <v>5000</v>
      </c>
      <c r="J109" s="766"/>
      <c r="K109" s="766"/>
      <c r="L109" s="766"/>
      <c r="M109" s="766"/>
      <c r="N109" s="1104">
        <f>SUM(N107:N108)</f>
        <v>5000</v>
      </c>
    </row>
    <row r="110" spans="1:16" s="733" customFormat="1" ht="22.5" customHeight="1" x14ac:dyDescent="0.3">
      <c r="A110" s="716">
        <v>102</v>
      </c>
      <c r="B110" s="744"/>
      <c r="C110" s="745">
        <v>9</v>
      </c>
      <c r="D110" s="746" t="s">
        <v>223</v>
      </c>
      <c r="E110" s="736">
        <v>7547</v>
      </c>
      <c r="F110" s="736">
        <v>35253</v>
      </c>
      <c r="G110" s="737">
        <v>24165</v>
      </c>
      <c r="H110" s="738" t="s">
        <v>24</v>
      </c>
      <c r="I110" s="739"/>
      <c r="J110" s="740"/>
      <c r="K110" s="740"/>
      <c r="L110" s="740"/>
      <c r="M110" s="740"/>
      <c r="N110" s="742"/>
      <c r="P110" s="743"/>
    </row>
    <row r="111" spans="1:16" s="743" customFormat="1" ht="18" customHeight="1" x14ac:dyDescent="0.3">
      <c r="A111" s="716">
        <v>103</v>
      </c>
      <c r="B111" s="734"/>
      <c r="C111" s="735"/>
      <c r="D111" s="241" t="s">
        <v>245</v>
      </c>
      <c r="F111" s="756"/>
      <c r="H111" s="738"/>
      <c r="I111" s="739">
        <f>SUM(J111:N111)</f>
        <v>21088</v>
      </c>
      <c r="J111" s="741">
        <v>376</v>
      </c>
      <c r="K111" s="741">
        <v>2622</v>
      </c>
      <c r="L111" s="741">
        <f>21088-2998</f>
        <v>18090</v>
      </c>
      <c r="M111" s="740"/>
      <c r="N111" s="742"/>
    </row>
    <row r="112" spans="1:16" s="743" customFormat="1" ht="18" customHeight="1" x14ac:dyDescent="0.3">
      <c r="A112" s="716">
        <v>104</v>
      </c>
      <c r="B112" s="734"/>
      <c r="C112" s="735"/>
      <c r="D112" s="377" t="s">
        <v>810</v>
      </c>
      <c r="F112" s="756"/>
      <c r="H112" s="738"/>
      <c r="I112" s="1446">
        <f>SUM(J112:N112)</f>
        <v>46088</v>
      </c>
      <c r="J112" s="1099">
        <v>2616</v>
      </c>
      <c r="K112" s="1099">
        <v>3382</v>
      </c>
      <c r="L112" s="1099">
        <v>30090</v>
      </c>
      <c r="M112" s="740"/>
      <c r="N112" s="1104">
        <v>10000</v>
      </c>
    </row>
    <row r="113" spans="1:16" s="743" customFormat="1" ht="18" customHeight="1" x14ac:dyDescent="0.3">
      <c r="A113" s="716">
        <v>105</v>
      </c>
      <c r="B113" s="734"/>
      <c r="C113" s="735"/>
      <c r="D113" s="910" t="s">
        <v>897</v>
      </c>
      <c r="E113" s="756"/>
      <c r="F113" s="756"/>
      <c r="G113" s="1379"/>
      <c r="H113" s="738"/>
      <c r="I113" s="299">
        <f>SUM(J113:Q113)</f>
        <v>1000</v>
      </c>
      <c r="J113" s="1105"/>
      <c r="K113" s="1105"/>
      <c r="L113" s="1105">
        <v>1000</v>
      </c>
      <c r="M113" s="1105"/>
      <c r="N113" s="1115"/>
    </row>
    <row r="114" spans="1:16" s="743" customFormat="1" ht="18" customHeight="1" x14ac:dyDescent="0.3">
      <c r="A114" s="716">
        <v>106</v>
      </c>
      <c r="B114" s="734"/>
      <c r="C114" s="735"/>
      <c r="D114" s="377" t="s">
        <v>858</v>
      </c>
      <c r="F114" s="756"/>
      <c r="G114" s="1379"/>
      <c r="H114" s="738"/>
      <c r="I114" s="443">
        <f>SUM(J114:Q114)</f>
        <v>47088</v>
      </c>
      <c r="J114" s="1099">
        <f>SUM(J112:J113)</f>
        <v>2616</v>
      </c>
      <c r="K114" s="1099">
        <f>SUM(K112:K113)</f>
        <v>3382</v>
      </c>
      <c r="L114" s="1099">
        <f>SUM(L112:L113)</f>
        <v>31090</v>
      </c>
      <c r="M114" s="1099"/>
      <c r="N114" s="1104">
        <f t="shared" ref="N114" si="6">SUM(N112:N113)</f>
        <v>10000</v>
      </c>
    </row>
    <row r="115" spans="1:16" s="733" customFormat="1" ht="22.5" customHeight="1" x14ac:dyDescent="0.3">
      <c r="A115" s="716">
        <v>107</v>
      </c>
      <c r="B115" s="744"/>
      <c r="C115" s="745">
        <v>10</v>
      </c>
      <c r="D115" s="746" t="s">
        <v>47</v>
      </c>
      <c r="E115" s="736">
        <v>7988</v>
      </c>
      <c r="F115" s="736">
        <v>16516</v>
      </c>
      <c r="G115" s="737">
        <v>9404</v>
      </c>
      <c r="H115" s="738" t="s">
        <v>24</v>
      </c>
      <c r="I115" s="739"/>
      <c r="J115" s="740"/>
      <c r="K115" s="740"/>
      <c r="L115" s="740"/>
      <c r="M115" s="740"/>
      <c r="N115" s="742"/>
      <c r="P115" s="743"/>
    </row>
    <row r="116" spans="1:16" s="743" customFormat="1" ht="18" customHeight="1" x14ac:dyDescent="0.3">
      <c r="A116" s="716">
        <v>108</v>
      </c>
      <c r="B116" s="734"/>
      <c r="C116" s="735"/>
      <c r="D116" s="241" t="s">
        <v>245</v>
      </c>
      <c r="E116" s="736"/>
      <c r="F116" s="736"/>
      <c r="G116" s="737"/>
      <c r="H116" s="738"/>
      <c r="I116" s="739">
        <f>SUM(J116:N116)</f>
        <v>11011</v>
      </c>
      <c r="J116" s="741">
        <v>3006</v>
      </c>
      <c r="K116" s="741">
        <v>1242</v>
      </c>
      <c r="L116" s="741">
        <f>3752+3011</f>
        <v>6763</v>
      </c>
      <c r="M116" s="740"/>
      <c r="N116" s="742"/>
    </row>
    <row r="117" spans="1:16" s="743" customFormat="1" ht="18" customHeight="1" x14ac:dyDescent="0.3">
      <c r="A117" s="716">
        <v>109</v>
      </c>
      <c r="B117" s="734"/>
      <c r="C117" s="735"/>
      <c r="D117" s="377" t="s">
        <v>810</v>
      </c>
      <c r="E117" s="736"/>
      <c r="F117" s="736"/>
      <c r="G117" s="737"/>
      <c r="H117" s="729"/>
      <c r="I117" s="1446">
        <f>SUM(J117:N117)</f>
        <v>11011</v>
      </c>
      <c r="J117" s="1099">
        <v>3006</v>
      </c>
      <c r="K117" s="1099">
        <v>1242</v>
      </c>
      <c r="L117" s="1099">
        <v>6763</v>
      </c>
      <c r="M117" s="740"/>
      <c r="N117" s="742"/>
    </row>
    <row r="118" spans="1:16" s="743" customFormat="1" ht="18" customHeight="1" x14ac:dyDescent="0.3">
      <c r="A118" s="716">
        <v>110</v>
      </c>
      <c r="B118" s="734"/>
      <c r="C118" s="735"/>
      <c r="D118" s="910" t="s">
        <v>652</v>
      </c>
      <c r="E118" s="736"/>
      <c r="F118" s="736"/>
      <c r="G118" s="737"/>
      <c r="H118" s="729"/>
      <c r="I118" s="299">
        <f>SUM(J118:Q118)</f>
        <v>0</v>
      </c>
      <c r="J118" s="1105"/>
      <c r="K118" s="1105"/>
      <c r="L118" s="1105"/>
      <c r="M118" s="1105"/>
      <c r="N118" s="1115"/>
    </row>
    <row r="119" spans="1:16" s="743" customFormat="1" ht="18" customHeight="1" x14ac:dyDescent="0.3">
      <c r="A119" s="716">
        <v>111</v>
      </c>
      <c r="B119" s="734"/>
      <c r="C119" s="735"/>
      <c r="D119" s="377" t="s">
        <v>858</v>
      </c>
      <c r="E119" s="736"/>
      <c r="F119" s="736"/>
      <c r="G119" s="737"/>
      <c r="H119" s="729"/>
      <c r="I119" s="443">
        <f>SUM(J119:Q119)</f>
        <v>11011</v>
      </c>
      <c r="J119" s="1099">
        <f>SUM(J117:J118)</f>
        <v>3006</v>
      </c>
      <c r="K119" s="1099">
        <f t="shared" ref="K119:L119" si="7">SUM(K117:K118)</f>
        <v>1242</v>
      </c>
      <c r="L119" s="1099">
        <f t="shared" si="7"/>
        <v>6763</v>
      </c>
      <c r="M119" s="740"/>
      <c r="N119" s="742"/>
    </row>
    <row r="120" spans="1:16" s="733" customFormat="1" ht="22.5" customHeight="1" x14ac:dyDescent="0.3">
      <c r="A120" s="716">
        <v>112</v>
      </c>
      <c r="B120" s="744"/>
      <c r="C120" s="745">
        <v>11</v>
      </c>
      <c r="D120" s="746" t="s">
        <v>48</v>
      </c>
      <c r="E120" s="736">
        <v>536</v>
      </c>
      <c r="F120" s="736">
        <v>15441</v>
      </c>
      <c r="G120" s="737">
        <v>468</v>
      </c>
      <c r="H120" s="729" t="s">
        <v>24</v>
      </c>
      <c r="I120" s="739"/>
      <c r="J120" s="740"/>
      <c r="K120" s="740"/>
      <c r="L120" s="740"/>
      <c r="M120" s="740"/>
      <c r="N120" s="742"/>
      <c r="P120" s="743"/>
    </row>
    <row r="121" spans="1:16" s="733" customFormat="1" ht="18" customHeight="1" x14ac:dyDescent="0.3">
      <c r="A121" s="716">
        <v>113</v>
      </c>
      <c r="B121" s="744"/>
      <c r="C121" s="745"/>
      <c r="D121" s="241" t="s">
        <v>245</v>
      </c>
      <c r="E121" s="736"/>
      <c r="F121" s="736"/>
      <c r="G121" s="737"/>
      <c r="H121" s="729"/>
      <c r="I121" s="739">
        <f>SUM(J121:N121)</f>
        <v>6150</v>
      </c>
      <c r="J121" s="740"/>
      <c r="K121" s="740"/>
      <c r="L121" s="741">
        <f>3000+3150</f>
        <v>6150</v>
      </c>
      <c r="M121" s="740"/>
      <c r="N121" s="750"/>
      <c r="P121" s="743"/>
    </row>
    <row r="122" spans="1:16" s="733" customFormat="1" ht="18" customHeight="1" x14ac:dyDescent="0.3">
      <c r="A122" s="716">
        <v>114</v>
      </c>
      <c r="B122" s="744"/>
      <c r="C122" s="745"/>
      <c r="D122" s="377" t="s">
        <v>810</v>
      </c>
      <c r="E122" s="736"/>
      <c r="F122" s="736"/>
      <c r="G122" s="737"/>
      <c r="H122" s="729"/>
      <c r="I122" s="1446">
        <f>SUM(J122:N122)</f>
        <v>1650</v>
      </c>
      <c r="J122" s="1103"/>
      <c r="K122" s="1103"/>
      <c r="L122" s="1099">
        <v>1650</v>
      </c>
      <c r="M122" s="740"/>
      <c r="N122" s="750"/>
      <c r="P122" s="743"/>
    </row>
    <row r="123" spans="1:16" s="733" customFormat="1" ht="18" customHeight="1" x14ac:dyDescent="0.3">
      <c r="A123" s="716">
        <v>115</v>
      </c>
      <c r="B123" s="744"/>
      <c r="C123" s="745"/>
      <c r="D123" s="910" t="s">
        <v>652</v>
      </c>
      <c r="E123" s="736"/>
      <c r="F123" s="736"/>
      <c r="G123" s="737"/>
      <c r="H123" s="729"/>
      <c r="I123" s="299">
        <f>SUM(J123:Q123)</f>
        <v>0</v>
      </c>
      <c r="J123" s="1105"/>
      <c r="K123" s="1105"/>
      <c r="L123" s="1105"/>
      <c r="M123" s="1105"/>
      <c r="N123" s="1107"/>
      <c r="P123" s="743"/>
    </row>
    <row r="124" spans="1:16" s="733" customFormat="1" ht="18" customHeight="1" x14ac:dyDescent="0.3">
      <c r="A124" s="716">
        <v>116</v>
      </c>
      <c r="B124" s="744"/>
      <c r="C124" s="745"/>
      <c r="D124" s="377" t="s">
        <v>858</v>
      </c>
      <c r="E124" s="736"/>
      <c r="F124" s="736"/>
      <c r="G124" s="737"/>
      <c r="H124" s="729"/>
      <c r="I124" s="443">
        <f>SUM(J124:Q124)</f>
        <v>1650</v>
      </c>
      <c r="J124" s="740"/>
      <c r="K124" s="740"/>
      <c r="L124" s="1099">
        <f>SUM(L122:L123)</f>
        <v>1650</v>
      </c>
      <c r="M124" s="740"/>
      <c r="N124" s="750"/>
      <c r="P124" s="743"/>
    </row>
    <row r="125" spans="1:16" s="733" customFormat="1" ht="22.5" customHeight="1" x14ac:dyDescent="0.3">
      <c r="A125" s="716">
        <v>117</v>
      </c>
      <c r="B125" s="744"/>
      <c r="C125" s="745">
        <v>13</v>
      </c>
      <c r="D125" s="746" t="s">
        <v>49</v>
      </c>
      <c r="E125" s="736">
        <f>SUM(E130,E135,E142,E143)+E140+E141+E147+E148+E153+E154+E155+E168+E169+5199</f>
        <v>9199</v>
      </c>
      <c r="F125" s="736">
        <f>SUM(F130,F135,F142,F143)+F140+F141+F147+F148+F153+F154+F155+F168+F169</f>
        <v>29241</v>
      </c>
      <c r="G125" s="736">
        <f>SUM(G130,G135,G142,G143)+G140+G141+G147+G148+G153+G154+G155+G168+G169</f>
        <v>12531</v>
      </c>
      <c r="H125" s="738" t="s">
        <v>24</v>
      </c>
      <c r="I125" s="739"/>
      <c r="J125" s="740"/>
      <c r="K125" s="740"/>
      <c r="L125" s="740"/>
      <c r="M125" s="740"/>
      <c r="N125" s="742"/>
      <c r="P125" s="743"/>
    </row>
    <row r="126" spans="1:16" s="733" customFormat="1" ht="18" customHeight="1" x14ac:dyDescent="0.3">
      <c r="A126" s="716">
        <v>118</v>
      </c>
      <c r="B126" s="744"/>
      <c r="C126" s="745"/>
      <c r="D126" s="241" t="s">
        <v>245</v>
      </c>
      <c r="E126" s="736"/>
      <c r="F126" s="736"/>
      <c r="G126" s="737"/>
      <c r="H126" s="738"/>
      <c r="I126" s="739">
        <f>SUM(J126:N126)</f>
        <v>12754</v>
      </c>
      <c r="J126" s="741">
        <f>J136+J131+J156+J149</f>
        <v>0</v>
      </c>
      <c r="K126" s="741">
        <f t="shared" ref="K126:N126" si="8">K136+K131+K156+K149</f>
        <v>0</v>
      </c>
      <c r="L126" s="741">
        <f t="shared" si="8"/>
        <v>0</v>
      </c>
      <c r="M126" s="741">
        <f t="shared" si="8"/>
        <v>0</v>
      </c>
      <c r="N126" s="750">
        <f t="shared" si="8"/>
        <v>12754</v>
      </c>
      <c r="P126" s="743"/>
    </row>
    <row r="127" spans="1:16" s="733" customFormat="1" ht="18" customHeight="1" x14ac:dyDescent="0.3">
      <c r="A127" s="716">
        <v>119</v>
      </c>
      <c r="B127" s="744"/>
      <c r="C127" s="745"/>
      <c r="D127" s="377" t="s">
        <v>810</v>
      </c>
      <c r="E127" s="736"/>
      <c r="F127" s="736"/>
      <c r="G127" s="737"/>
      <c r="H127" s="738"/>
      <c r="I127" s="1446">
        <f>SUM(J127:N127)</f>
        <v>19830</v>
      </c>
      <c r="J127" s="1099">
        <f>J132+J137+J144+J150+J157+J161+J165</f>
        <v>750</v>
      </c>
      <c r="K127" s="1099">
        <f t="shared" ref="K127:N127" si="9">K132+K137+K144+K150+K157+K161+K165</f>
        <v>88</v>
      </c>
      <c r="L127" s="1099">
        <f t="shared" si="9"/>
        <v>4292</v>
      </c>
      <c r="M127" s="1099">
        <f t="shared" si="9"/>
        <v>0</v>
      </c>
      <c r="N127" s="1104">
        <f t="shared" si="9"/>
        <v>14700</v>
      </c>
      <c r="P127" s="743"/>
    </row>
    <row r="128" spans="1:16" s="733" customFormat="1" ht="18" customHeight="1" x14ac:dyDescent="0.3">
      <c r="A128" s="716">
        <v>120</v>
      </c>
      <c r="B128" s="744"/>
      <c r="C128" s="745"/>
      <c r="D128" s="910" t="s">
        <v>652</v>
      </c>
      <c r="E128" s="736"/>
      <c r="F128" s="736"/>
      <c r="G128" s="737"/>
      <c r="H128" s="738"/>
      <c r="I128" s="299">
        <f>SUM(J128:Q128)</f>
        <v>0</v>
      </c>
      <c r="J128" s="1105">
        <f>J138+J133+J158+J151+J145+J162+J166</f>
        <v>0</v>
      </c>
      <c r="K128" s="1105">
        <f t="shared" ref="K128:N128" si="10">K138+K133+K158+K151+K145+K162+K166</f>
        <v>0</v>
      </c>
      <c r="L128" s="1105">
        <f t="shared" si="10"/>
        <v>0</v>
      </c>
      <c r="M128" s="1105">
        <f t="shared" si="10"/>
        <v>0</v>
      </c>
      <c r="N128" s="1115">
        <f t="shared" si="10"/>
        <v>0</v>
      </c>
      <c r="P128" s="743"/>
    </row>
    <row r="129" spans="1:16" s="733" customFormat="1" ht="18" customHeight="1" x14ac:dyDescent="0.3">
      <c r="A129" s="716">
        <v>121</v>
      </c>
      <c r="B129" s="744"/>
      <c r="C129" s="745"/>
      <c r="D129" s="377" t="s">
        <v>858</v>
      </c>
      <c r="E129" s="736"/>
      <c r="F129" s="736"/>
      <c r="G129" s="737"/>
      <c r="H129" s="738"/>
      <c r="I129" s="443">
        <f>SUM(J129:Q129)</f>
        <v>19830</v>
      </c>
      <c r="J129" s="1099">
        <f>SUM(J127:J128)</f>
        <v>750</v>
      </c>
      <c r="K129" s="1099">
        <f t="shared" ref="K129:N129" si="11">SUM(K127:K128)</f>
        <v>88</v>
      </c>
      <c r="L129" s="1099">
        <f t="shared" si="11"/>
        <v>4292</v>
      </c>
      <c r="M129" s="1099">
        <f t="shared" si="11"/>
        <v>0</v>
      </c>
      <c r="N129" s="1104">
        <f t="shared" si="11"/>
        <v>14700</v>
      </c>
      <c r="P129" s="743"/>
    </row>
    <row r="130" spans="1:16" s="768" customFormat="1" ht="18" customHeight="1" x14ac:dyDescent="0.3">
      <c r="A130" s="716">
        <v>122</v>
      </c>
      <c r="B130" s="762"/>
      <c r="C130" s="735"/>
      <c r="D130" s="773" t="s">
        <v>393</v>
      </c>
      <c r="E130" s="736"/>
      <c r="F130" s="736">
        <v>2500</v>
      </c>
      <c r="G130" s="737"/>
      <c r="H130" s="764"/>
      <c r="I130" s="765"/>
      <c r="J130" s="766"/>
      <c r="K130" s="766"/>
      <c r="L130" s="766"/>
      <c r="M130" s="766"/>
      <c r="N130" s="767"/>
    </row>
    <row r="131" spans="1:16" s="768" customFormat="1" ht="18" customHeight="1" x14ac:dyDescent="0.3">
      <c r="A131" s="716">
        <v>123</v>
      </c>
      <c r="B131" s="762"/>
      <c r="C131" s="735"/>
      <c r="D131" s="774" t="s">
        <v>245</v>
      </c>
      <c r="E131" s="736"/>
      <c r="F131" s="736"/>
      <c r="G131" s="737"/>
      <c r="H131" s="764"/>
      <c r="I131" s="769">
        <f>SUM(J131:N131)</f>
        <v>3054</v>
      </c>
      <c r="J131" s="766"/>
      <c r="K131" s="766"/>
      <c r="L131" s="766"/>
      <c r="M131" s="766"/>
      <c r="N131" s="767">
        <v>3054</v>
      </c>
    </row>
    <row r="132" spans="1:16" s="768" customFormat="1" ht="18" customHeight="1" x14ac:dyDescent="0.3">
      <c r="A132" s="716">
        <v>124</v>
      </c>
      <c r="B132" s="762"/>
      <c r="C132" s="735"/>
      <c r="D132" s="792" t="s">
        <v>810</v>
      </c>
      <c r="E132" s="736"/>
      <c r="F132" s="736"/>
      <c r="G132" s="737"/>
      <c r="H132" s="764"/>
      <c r="I132" s="1448">
        <f>SUM(J132:N132)</f>
        <v>0</v>
      </c>
      <c r="J132" s="1105"/>
      <c r="K132" s="1105"/>
      <c r="L132" s="1105"/>
      <c r="M132" s="1105"/>
      <c r="N132" s="1115">
        <v>0</v>
      </c>
    </row>
    <row r="133" spans="1:16" s="768" customFormat="1" ht="18" customHeight="1" x14ac:dyDescent="0.3">
      <c r="A133" s="716">
        <v>125</v>
      </c>
      <c r="B133" s="762"/>
      <c r="C133" s="735"/>
      <c r="D133" s="792" t="s">
        <v>652</v>
      </c>
      <c r="E133" s="736"/>
      <c r="F133" s="736"/>
      <c r="G133" s="737"/>
      <c r="H133" s="764"/>
      <c r="I133" s="299">
        <f>SUM(J133:Q133)</f>
        <v>0</v>
      </c>
      <c r="J133" s="766"/>
      <c r="K133" s="766"/>
      <c r="L133" s="766"/>
      <c r="M133" s="766"/>
      <c r="N133" s="1115"/>
    </row>
    <row r="134" spans="1:16" s="768" customFormat="1" ht="18" customHeight="1" x14ac:dyDescent="0.3">
      <c r="A134" s="716">
        <v>126</v>
      </c>
      <c r="B134" s="762"/>
      <c r="C134" s="735"/>
      <c r="D134" s="792" t="s">
        <v>858</v>
      </c>
      <c r="E134" s="736"/>
      <c r="F134" s="736"/>
      <c r="G134" s="737"/>
      <c r="H134" s="764"/>
      <c r="I134" s="299">
        <f>SUM(J134:Q134)</f>
        <v>0</v>
      </c>
      <c r="J134" s="1105"/>
      <c r="K134" s="1105"/>
      <c r="L134" s="1105"/>
      <c r="M134" s="1105"/>
      <c r="N134" s="1115">
        <f>SUM(N132:N133)</f>
        <v>0</v>
      </c>
    </row>
    <row r="135" spans="1:16" s="768" customFormat="1" ht="18" customHeight="1" x14ac:dyDescent="0.3">
      <c r="A135" s="716">
        <v>127</v>
      </c>
      <c r="B135" s="762"/>
      <c r="C135" s="735"/>
      <c r="D135" s="773" t="s">
        <v>485</v>
      </c>
      <c r="E135" s="736">
        <v>4000</v>
      </c>
      <c r="F135" s="736">
        <v>4000</v>
      </c>
      <c r="G135" s="737">
        <v>4000</v>
      </c>
      <c r="H135" s="764"/>
      <c r="I135" s="770"/>
      <c r="J135" s="771"/>
      <c r="K135" s="771"/>
      <c r="L135" s="771"/>
      <c r="M135" s="771"/>
      <c r="N135" s="772"/>
    </row>
    <row r="136" spans="1:16" s="768" customFormat="1" ht="18" customHeight="1" x14ac:dyDescent="0.3">
      <c r="A136" s="716">
        <v>128</v>
      </c>
      <c r="B136" s="762"/>
      <c r="C136" s="735"/>
      <c r="D136" s="774" t="s">
        <v>245</v>
      </c>
      <c r="E136" s="736"/>
      <c r="F136" s="736"/>
      <c r="G136" s="737"/>
      <c r="H136" s="764"/>
      <c r="I136" s="769">
        <f>SUM(J136:N136)</f>
        <v>4000</v>
      </c>
      <c r="J136" s="771"/>
      <c r="K136" s="771"/>
      <c r="L136" s="771"/>
      <c r="M136" s="771"/>
      <c r="N136" s="772">
        <v>4000</v>
      </c>
    </row>
    <row r="137" spans="1:16" s="768" customFormat="1" ht="18" customHeight="1" x14ac:dyDescent="0.3">
      <c r="A137" s="716">
        <v>129</v>
      </c>
      <c r="B137" s="762"/>
      <c r="C137" s="735"/>
      <c r="D137" s="792" t="s">
        <v>810</v>
      </c>
      <c r="E137" s="736"/>
      <c r="F137" s="736"/>
      <c r="G137" s="737"/>
      <c r="H137" s="764"/>
      <c r="I137" s="1448">
        <f>SUM(J137:N137)</f>
        <v>4000</v>
      </c>
      <c r="J137" s="1110"/>
      <c r="K137" s="1110"/>
      <c r="L137" s="1110"/>
      <c r="M137" s="1110"/>
      <c r="N137" s="1116">
        <v>4000</v>
      </c>
    </row>
    <row r="138" spans="1:16" s="768" customFormat="1" ht="18" customHeight="1" x14ac:dyDescent="0.3">
      <c r="A138" s="716">
        <v>130</v>
      </c>
      <c r="B138" s="762"/>
      <c r="C138" s="735"/>
      <c r="D138" s="792" t="s">
        <v>652</v>
      </c>
      <c r="E138" s="736"/>
      <c r="F138" s="736"/>
      <c r="G138" s="737"/>
      <c r="H138" s="764"/>
      <c r="I138" s="299">
        <f>SUM(J138:Q138)</f>
        <v>0</v>
      </c>
      <c r="J138" s="771"/>
      <c r="K138" s="771"/>
      <c r="L138" s="771"/>
      <c r="M138" s="771"/>
      <c r="N138" s="772"/>
    </row>
    <row r="139" spans="1:16" s="768" customFormat="1" ht="18" customHeight="1" x14ac:dyDescent="0.3">
      <c r="A139" s="716">
        <v>131</v>
      </c>
      <c r="B139" s="762"/>
      <c r="C139" s="735"/>
      <c r="D139" s="792" t="s">
        <v>858</v>
      </c>
      <c r="E139" s="736"/>
      <c r="F139" s="736"/>
      <c r="G139" s="737"/>
      <c r="H139" s="764"/>
      <c r="I139" s="299">
        <f>SUM(J139:Q139)</f>
        <v>4000</v>
      </c>
      <c r="J139" s="1110"/>
      <c r="K139" s="1110"/>
      <c r="L139" s="1110"/>
      <c r="M139" s="1110"/>
      <c r="N139" s="1116">
        <f>SUM(N137:N138)</f>
        <v>4000</v>
      </c>
    </row>
    <row r="140" spans="1:16" s="768" customFormat="1" ht="18" customHeight="1" x14ac:dyDescent="0.3">
      <c r="A140" s="716">
        <v>132</v>
      </c>
      <c r="B140" s="762"/>
      <c r="C140" s="735"/>
      <c r="D140" s="773" t="s">
        <v>503</v>
      </c>
      <c r="E140" s="736"/>
      <c r="F140" s="736">
        <v>1500</v>
      </c>
      <c r="G140" s="737">
        <v>1500</v>
      </c>
      <c r="H140" s="764"/>
      <c r="I140" s="769"/>
      <c r="J140" s="771"/>
      <c r="K140" s="771"/>
      <c r="L140" s="771"/>
      <c r="M140" s="771"/>
      <c r="N140" s="772"/>
    </row>
    <row r="141" spans="1:16" s="768" customFormat="1" ht="18" customHeight="1" x14ac:dyDescent="0.3">
      <c r="A141" s="716">
        <v>133</v>
      </c>
      <c r="B141" s="762"/>
      <c r="C141" s="735"/>
      <c r="D141" s="773" t="s">
        <v>486</v>
      </c>
      <c r="E141" s="736"/>
      <c r="F141" s="736">
        <v>2200</v>
      </c>
      <c r="G141" s="737">
        <v>2200</v>
      </c>
      <c r="H141" s="764"/>
      <c r="I141" s="769"/>
      <c r="J141" s="771"/>
      <c r="K141" s="771"/>
      <c r="L141" s="771"/>
      <c r="M141" s="771"/>
      <c r="N141" s="772"/>
    </row>
    <row r="142" spans="1:16" s="768" customFormat="1" ht="18" customHeight="1" x14ac:dyDescent="0.3">
      <c r="A142" s="716">
        <v>134</v>
      </c>
      <c r="B142" s="762"/>
      <c r="C142" s="735"/>
      <c r="D142" s="773" t="s">
        <v>337</v>
      </c>
      <c r="E142" s="736"/>
      <c r="F142" s="736"/>
      <c r="G142" s="737"/>
      <c r="H142" s="764"/>
      <c r="I142" s="769"/>
      <c r="J142" s="766"/>
      <c r="K142" s="766"/>
      <c r="L142" s="766"/>
      <c r="M142" s="766"/>
      <c r="N142" s="767"/>
    </row>
    <row r="143" spans="1:16" s="768" customFormat="1" ht="18" customHeight="1" x14ac:dyDescent="0.3">
      <c r="A143" s="716">
        <v>135</v>
      </c>
      <c r="B143" s="762"/>
      <c r="C143" s="735"/>
      <c r="D143" s="773" t="s">
        <v>344</v>
      </c>
      <c r="E143" s="736"/>
      <c r="F143" s="736"/>
      <c r="G143" s="737"/>
      <c r="H143" s="764"/>
      <c r="I143" s="765"/>
      <c r="J143" s="766"/>
      <c r="K143" s="766"/>
      <c r="L143" s="766"/>
      <c r="M143" s="766"/>
      <c r="N143" s="767"/>
    </row>
    <row r="144" spans="1:16" s="768" customFormat="1" ht="18" customHeight="1" x14ac:dyDescent="0.3">
      <c r="A144" s="716">
        <v>136</v>
      </c>
      <c r="B144" s="762"/>
      <c r="C144" s="735"/>
      <c r="D144" s="792" t="s">
        <v>810</v>
      </c>
      <c r="E144" s="736"/>
      <c r="F144" s="736"/>
      <c r="G144" s="737"/>
      <c r="H144" s="764"/>
      <c r="I144" s="299">
        <f>SUM(J144:Q144)</f>
        <v>5000</v>
      </c>
      <c r="J144" s="766"/>
      <c r="K144" s="766"/>
      <c r="L144" s="766"/>
      <c r="M144" s="766"/>
      <c r="N144" s="1115">
        <v>5000</v>
      </c>
    </row>
    <row r="145" spans="1:14" s="768" customFormat="1" ht="18" customHeight="1" x14ac:dyDescent="0.3">
      <c r="A145" s="716">
        <v>137</v>
      </c>
      <c r="B145" s="762"/>
      <c r="C145" s="735"/>
      <c r="D145" s="792" t="s">
        <v>652</v>
      </c>
      <c r="E145" s="736"/>
      <c r="F145" s="736"/>
      <c r="G145" s="737"/>
      <c r="H145" s="764"/>
      <c r="I145" s="299">
        <f>SUM(J145:Q145)</f>
        <v>0</v>
      </c>
      <c r="J145" s="766"/>
      <c r="K145" s="766"/>
      <c r="L145" s="766"/>
      <c r="M145" s="766"/>
      <c r="N145" s="1115"/>
    </row>
    <row r="146" spans="1:14" s="768" customFormat="1" ht="18" customHeight="1" x14ac:dyDescent="0.3">
      <c r="A146" s="716">
        <v>138</v>
      </c>
      <c r="B146" s="762"/>
      <c r="C146" s="735"/>
      <c r="D146" s="792" t="s">
        <v>858</v>
      </c>
      <c r="E146" s="736"/>
      <c r="F146" s="736"/>
      <c r="G146" s="737"/>
      <c r="H146" s="764"/>
      <c r="I146" s="299">
        <f>SUM(J146:Q146)</f>
        <v>5000</v>
      </c>
      <c r="J146" s="766"/>
      <c r="K146" s="766"/>
      <c r="L146" s="766"/>
      <c r="M146" s="766"/>
      <c r="N146" s="1115">
        <f>SUM(N144:N145)</f>
        <v>5000</v>
      </c>
    </row>
    <row r="147" spans="1:14" s="768" customFormat="1" ht="18" customHeight="1" x14ac:dyDescent="0.3">
      <c r="A147" s="716">
        <v>139</v>
      </c>
      <c r="B147" s="762"/>
      <c r="C147" s="735"/>
      <c r="D147" s="773" t="s">
        <v>423</v>
      </c>
      <c r="E147" s="736"/>
      <c r="F147" s="736">
        <v>1500</v>
      </c>
      <c r="G147" s="737">
        <v>1500</v>
      </c>
      <c r="H147" s="764"/>
      <c r="I147" s="769"/>
      <c r="J147" s="766"/>
      <c r="K147" s="766"/>
      <c r="L147" s="766"/>
      <c r="M147" s="766"/>
      <c r="N147" s="767"/>
    </row>
    <row r="148" spans="1:14" s="768" customFormat="1" ht="18" customHeight="1" x14ac:dyDescent="0.3">
      <c r="A148" s="716">
        <v>140</v>
      </c>
      <c r="B148" s="762"/>
      <c r="C148" s="735"/>
      <c r="D148" s="773" t="s">
        <v>653</v>
      </c>
      <c r="E148" s="736"/>
      <c r="F148" s="736">
        <v>1400</v>
      </c>
      <c r="G148" s="737">
        <v>1400</v>
      </c>
      <c r="H148" s="764"/>
      <c r="I148" s="765"/>
      <c r="J148" s="766"/>
      <c r="K148" s="766"/>
      <c r="L148" s="766"/>
      <c r="M148" s="766"/>
      <c r="N148" s="767"/>
    </row>
    <row r="149" spans="1:14" s="768" customFormat="1" ht="18" customHeight="1" x14ac:dyDescent="0.3">
      <c r="A149" s="716">
        <v>141</v>
      </c>
      <c r="B149" s="762"/>
      <c r="C149" s="735"/>
      <c r="D149" s="774" t="s">
        <v>245</v>
      </c>
      <c r="E149" s="736"/>
      <c r="F149" s="736"/>
      <c r="G149" s="737"/>
      <c r="H149" s="764"/>
      <c r="I149" s="769">
        <f>SUM(J149:N149)</f>
        <v>1500</v>
      </c>
      <c r="J149" s="766"/>
      <c r="K149" s="766"/>
      <c r="L149" s="766"/>
      <c r="M149" s="766"/>
      <c r="N149" s="767">
        <v>1500</v>
      </c>
    </row>
    <row r="150" spans="1:14" s="768" customFormat="1" ht="18" customHeight="1" x14ac:dyDescent="0.3">
      <c r="A150" s="716">
        <v>142</v>
      </c>
      <c r="B150" s="762"/>
      <c r="C150" s="735"/>
      <c r="D150" s="792" t="s">
        <v>810</v>
      </c>
      <c r="E150" s="736"/>
      <c r="F150" s="736"/>
      <c r="G150" s="737"/>
      <c r="H150" s="764"/>
      <c r="I150" s="1448">
        <f>SUM(J150:N150)</f>
        <v>1500</v>
      </c>
      <c r="J150" s="1105"/>
      <c r="K150" s="1105"/>
      <c r="L150" s="1105"/>
      <c r="M150" s="1105"/>
      <c r="N150" s="1115">
        <v>1500</v>
      </c>
    </row>
    <row r="151" spans="1:14" s="768" customFormat="1" ht="18" customHeight="1" x14ac:dyDescent="0.3">
      <c r="A151" s="716">
        <v>143</v>
      </c>
      <c r="B151" s="762"/>
      <c r="C151" s="735"/>
      <c r="D151" s="792" t="s">
        <v>652</v>
      </c>
      <c r="E151" s="736"/>
      <c r="F151" s="736"/>
      <c r="G151" s="737"/>
      <c r="H151" s="764"/>
      <c r="I151" s="299">
        <f>SUM(J151:Q151)</f>
        <v>0</v>
      </c>
      <c r="J151" s="766"/>
      <c r="K151" s="766"/>
      <c r="L151" s="766"/>
      <c r="M151" s="766"/>
      <c r="N151" s="767"/>
    </row>
    <row r="152" spans="1:14" s="768" customFormat="1" ht="18" customHeight="1" x14ac:dyDescent="0.3">
      <c r="A152" s="716">
        <v>144</v>
      </c>
      <c r="B152" s="762"/>
      <c r="C152" s="735"/>
      <c r="D152" s="792" t="s">
        <v>858</v>
      </c>
      <c r="E152" s="736"/>
      <c r="F152" s="736"/>
      <c r="G152" s="737"/>
      <c r="H152" s="764"/>
      <c r="I152" s="299">
        <f>SUM(J152:Q152)</f>
        <v>1500</v>
      </c>
      <c r="J152" s="1105"/>
      <c r="K152" s="1105"/>
      <c r="L152" s="1105"/>
      <c r="M152" s="1105"/>
      <c r="N152" s="1115">
        <f>SUM(N150:N151)</f>
        <v>1500</v>
      </c>
    </row>
    <row r="153" spans="1:14" s="768" customFormat="1" ht="18" customHeight="1" x14ac:dyDescent="0.3">
      <c r="A153" s="716">
        <v>145</v>
      </c>
      <c r="B153" s="762"/>
      <c r="C153" s="735"/>
      <c r="D153" s="773" t="s">
        <v>424</v>
      </c>
      <c r="E153" s="736"/>
      <c r="F153" s="736">
        <v>10000</v>
      </c>
      <c r="G153" s="737"/>
      <c r="H153" s="764"/>
      <c r="I153" s="765"/>
      <c r="J153" s="766"/>
      <c r="K153" s="766"/>
      <c r="L153" s="766"/>
      <c r="M153" s="766"/>
      <c r="N153" s="767"/>
    </row>
    <row r="154" spans="1:14" s="768" customFormat="1" ht="18" customHeight="1" x14ac:dyDescent="0.3">
      <c r="A154" s="716">
        <v>146</v>
      </c>
      <c r="B154" s="762"/>
      <c r="C154" s="735"/>
      <c r="D154" s="1969" t="s">
        <v>493</v>
      </c>
      <c r="E154" s="1970"/>
      <c r="F154" s="736">
        <v>500</v>
      </c>
      <c r="G154" s="737">
        <v>500</v>
      </c>
      <c r="H154" s="764"/>
      <c r="I154" s="765"/>
      <c r="J154" s="766"/>
      <c r="K154" s="766"/>
      <c r="L154" s="766"/>
      <c r="M154" s="766"/>
      <c r="N154" s="767"/>
    </row>
    <row r="155" spans="1:14" s="768" customFormat="1" ht="18" customHeight="1" x14ac:dyDescent="0.3">
      <c r="A155" s="716">
        <v>147</v>
      </c>
      <c r="B155" s="762"/>
      <c r="C155" s="735"/>
      <c r="D155" s="773" t="s">
        <v>425</v>
      </c>
      <c r="E155" s="736"/>
      <c r="F155" s="736">
        <v>4200</v>
      </c>
      <c r="G155" s="737"/>
      <c r="H155" s="764"/>
      <c r="I155" s="765"/>
      <c r="J155" s="766"/>
      <c r="K155" s="766"/>
      <c r="L155" s="766"/>
      <c r="M155" s="766"/>
      <c r="N155" s="767"/>
    </row>
    <row r="156" spans="1:14" s="768" customFormat="1" ht="18" customHeight="1" x14ac:dyDescent="0.3">
      <c r="A156" s="716">
        <v>148</v>
      </c>
      <c r="B156" s="762"/>
      <c r="C156" s="735"/>
      <c r="D156" s="774" t="s">
        <v>245</v>
      </c>
      <c r="E156" s="736"/>
      <c r="F156" s="736"/>
      <c r="G156" s="737"/>
      <c r="H156" s="764"/>
      <c r="I156" s="769">
        <f>SUM(J156:N156)</f>
        <v>4200</v>
      </c>
      <c r="J156" s="766"/>
      <c r="K156" s="766"/>
      <c r="L156" s="766"/>
      <c r="M156" s="766"/>
      <c r="N156" s="767">
        <f>3000+1200</f>
        <v>4200</v>
      </c>
    </row>
    <row r="157" spans="1:14" s="768" customFormat="1" ht="18" customHeight="1" x14ac:dyDescent="0.3">
      <c r="A157" s="716">
        <v>149</v>
      </c>
      <c r="B157" s="762"/>
      <c r="C157" s="735"/>
      <c r="D157" s="792" t="s">
        <v>810</v>
      </c>
      <c r="E157" s="736"/>
      <c r="F157" s="736"/>
      <c r="G157" s="737"/>
      <c r="H157" s="764"/>
      <c r="I157" s="1448">
        <f>SUM(J157:N157)</f>
        <v>4200</v>
      </c>
      <c r="J157" s="1105"/>
      <c r="K157" s="1105"/>
      <c r="L157" s="1105"/>
      <c r="M157" s="1105"/>
      <c r="N157" s="1115">
        <v>4200</v>
      </c>
    </row>
    <row r="158" spans="1:14" s="768" customFormat="1" ht="18" customHeight="1" x14ac:dyDescent="0.3">
      <c r="A158" s="716">
        <v>150</v>
      </c>
      <c r="B158" s="762"/>
      <c r="C158" s="735"/>
      <c r="D158" s="792" t="s">
        <v>652</v>
      </c>
      <c r="E158" s="736"/>
      <c r="F158" s="736"/>
      <c r="G158" s="737"/>
      <c r="H158" s="764"/>
      <c r="I158" s="299">
        <f>SUM(J158:Q158)</f>
        <v>0</v>
      </c>
      <c r="J158" s="766"/>
      <c r="K158" s="766"/>
      <c r="L158" s="766"/>
      <c r="M158" s="766"/>
      <c r="N158" s="767"/>
    </row>
    <row r="159" spans="1:14" s="768" customFormat="1" ht="18" customHeight="1" x14ac:dyDescent="0.3">
      <c r="A159" s="716">
        <v>151</v>
      </c>
      <c r="B159" s="762"/>
      <c r="C159" s="735"/>
      <c r="D159" s="792" t="s">
        <v>858</v>
      </c>
      <c r="E159" s="736"/>
      <c r="F159" s="736"/>
      <c r="G159" s="737"/>
      <c r="H159" s="764"/>
      <c r="I159" s="299">
        <f>SUM(J159:Q159)</f>
        <v>4200</v>
      </c>
      <c r="J159" s="1105"/>
      <c r="K159" s="1105"/>
      <c r="L159" s="1105"/>
      <c r="M159" s="1105"/>
      <c r="N159" s="1115">
        <f>SUM(N157:N158)</f>
        <v>4200</v>
      </c>
    </row>
    <row r="160" spans="1:14" s="768" customFormat="1" ht="18" customHeight="1" x14ac:dyDescent="0.3">
      <c r="A160" s="716">
        <v>152</v>
      </c>
      <c r="B160" s="762"/>
      <c r="C160" s="735"/>
      <c r="D160" s="773" t="s">
        <v>730</v>
      </c>
      <c r="E160" s="736"/>
      <c r="F160" s="736"/>
      <c r="G160" s="737"/>
      <c r="H160" s="764"/>
      <c r="I160" s="913"/>
      <c r="J160" s="1105"/>
      <c r="K160" s="1105"/>
      <c r="L160" s="1105"/>
      <c r="M160" s="1105"/>
      <c r="N160" s="1115"/>
    </row>
    <row r="161" spans="1:14" s="768" customFormat="1" ht="18" customHeight="1" x14ac:dyDescent="0.3">
      <c r="A161" s="716">
        <v>153</v>
      </c>
      <c r="B161" s="762"/>
      <c r="C161" s="735"/>
      <c r="D161" s="792" t="s">
        <v>810</v>
      </c>
      <c r="E161" s="736"/>
      <c r="F161" s="736"/>
      <c r="G161" s="737"/>
      <c r="H161" s="764"/>
      <c r="I161" s="299">
        <f>SUM(J161:Q161)</f>
        <v>4500</v>
      </c>
      <c r="J161" s="1105">
        <v>750</v>
      </c>
      <c r="K161" s="1105">
        <v>88</v>
      </c>
      <c r="L161" s="1105">
        <v>3662</v>
      </c>
      <c r="M161" s="1105"/>
      <c r="N161" s="1115">
        <v>0</v>
      </c>
    </row>
    <row r="162" spans="1:14" s="768" customFormat="1" ht="18" customHeight="1" x14ac:dyDescent="0.3">
      <c r="A162" s="716">
        <v>154</v>
      </c>
      <c r="B162" s="762"/>
      <c r="C162" s="735"/>
      <c r="D162" s="792" t="s">
        <v>652</v>
      </c>
      <c r="E162" s="736"/>
      <c r="F162" s="736"/>
      <c r="G162" s="737"/>
      <c r="H162" s="764"/>
      <c r="I162" s="299">
        <f>SUM(J162:Q162)</f>
        <v>0</v>
      </c>
      <c r="J162" s="1105"/>
      <c r="K162" s="1105"/>
      <c r="L162" s="1105"/>
      <c r="M162" s="1105"/>
      <c r="N162" s="1115"/>
    </row>
    <row r="163" spans="1:14" s="768" customFormat="1" ht="18" customHeight="1" x14ac:dyDescent="0.3">
      <c r="A163" s="716">
        <v>155</v>
      </c>
      <c r="B163" s="762"/>
      <c r="C163" s="735"/>
      <c r="D163" s="792" t="s">
        <v>858</v>
      </c>
      <c r="E163" s="736"/>
      <c r="F163" s="736"/>
      <c r="G163" s="737"/>
      <c r="H163" s="764"/>
      <c r="I163" s="299">
        <f>SUM(J163:Q163)</f>
        <v>0</v>
      </c>
      <c r="J163" s="1105">
        <f>SUM(J162)</f>
        <v>0</v>
      </c>
      <c r="K163" s="1105">
        <f t="shared" ref="K163:L163" si="12">SUM(K162)</f>
        <v>0</v>
      </c>
      <c r="L163" s="1105">
        <f t="shared" si="12"/>
        <v>0</v>
      </c>
      <c r="M163" s="1105"/>
      <c r="N163" s="1115">
        <f>SUM(N161:N162)</f>
        <v>0</v>
      </c>
    </row>
    <row r="164" spans="1:14" s="768" customFormat="1" ht="18" customHeight="1" x14ac:dyDescent="0.3">
      <c r="A164" s="716">
        <v>156</v>
      </c>
      <c r="B164" s="762"/>
      <c r="C164" s="735"/>
      <c r="D164" s="773" t="s">
        <v>831</v>
      </c>
      <c r="E164" s="736"/>
      <c r="F164" s="736"/>
      <c r="G164" s="737"/>
      <c r="H164" s="764"/>
      <c r="I164" s="299"/>
      <c r="J164" s="1105"/>
      <c r="K164" s="1105"/>
      <c r="L164" s="1105"/>
      <c r="M164" s="1105"/>
      <c r="N164" s="1115"/>
    </row>
    <row r="165" spans="1:14" s="768" customFormat="1" ht="18" customHeight="1" x14ac:dyDescent="0.3">
      <c r="A165" s="716">
        <v>157</v>
      </c>
      <c r="B165" s="762"/>
      <c r="C165" s="735"/>
      <c r="D165" s="792" t="s">
        <v>810</v>
      </c>
      <c r="E165" s="736"/>
      <c r="F165" s="736"/>
      <c r="G165" s="737"/>
      <c r="H165" s="764"/>
      <c r="I165" s="299">
        <f>SUM(J165:Q165)</f>
        <v>630</v>
      </c>
      <c r="J165" s="1105"/>
      <c r="K165" s="1105"/>
      <c r="L165" s="1105">
        <v>630</v>
      </c>
      <c r="M165" s="1105"/>
      <c r="N165" s="1115"/>
    </row>
    <row r="166" spans="1:14" s="768" customFormat="1" ht="18" customHeight="1" x14ac:dyDescent="0.3">
      <c r="A166" s="716">
        <v>158</v>
      </c>
      <c r="B166" s="762"/>
      <c r="C166" s="735"/>
      <c r="D166" s="792" t="s">
        <v>652</v>
      </c>
      <c r="E166" s="736"/>
      <c r="F166" s="736"/>
      <c r="G166" s="737"/>
      <c r="H166" s="764"/>
      <c r="I166" s="299">
        <f>SUM(J166:Q166)</f>
        <v>0</v>
      </c>
      <c r="J166" s="1105"/>
      <c r="K166" s="1105"/>
      <c r="L166" s="1105"/>
      <c r="M166" s="1105"/>
      <c r="N166" s="1115"/>
    </row>
    <row r="167" spans="1:14" s="768" customFormat="1" ht="18" customHeight="1" x14ac:dyDescent="0.3">
      <c r="A167" s="716">
        <v>159</v>
      </c>
      <c r="B167" s="762"/>
      <c r="C167" s="735"/>
      <c r="D167" s="792" t="s">
        <v>858</v>
      </c>
      <c r="E167" s="736"/>
      <c r="F167" s="736"/>
      <c r="G167" s="737"/>
      <c r="H167" s="764"/>
      <c r="I167" s="299">
        <f>SUM(J167:Q167)</f>
        <v>0</v>
      </c>
      <c r="J167" s="1105"/>
      <c r="K167" s="1105"/>
      <c r="L167" s="1105">
        <f>SUM(L166)</f>
        <v>0</v>
      </c>
      <c r="M167" s="1105"/>
      <c r="N167" s="1115"/>
    </row>
    <row r="168" spans="1:14" s="768" customFormat="1" ht="18" customHeight="1" x14ac:dyDescent="0.3">
      <c r="A168" s="716">
        <v>160</v>
      </c>
      <c r="B168" s="762"/>
      <c r="C168" s="735"/>
      <c r="D168" s="773" t="s">
        <v>426</v>
      </c>
      <c r="E168" s="736"/>
      <c r="F168" s="736">
        <v>1000</v>
      </c>
      <c r="G168" s="737">
        <v>990</v>
      </c>
      <c r="H168" s="764"/>
      <c r="I168" s="769"/>
      <c r="J168" s="766"/>
      <c r="K168" s="766"/>
      <c r="L168" s="766"/>
      <c r="M168" s="766"/>
      <c r="N168" s="767"/>
    </row>
    <row r="169" spans="1:14" s="768" customFormat="1" ht="18" customHeight="1" x14ac:dyDescent="0.3">
      <c r="A169" s="716">
        <v>161</v>
      </c>
      <c r="B169" s="762"/>
      <c r="C169" s="735"/>
      <c r="D169" s="773" t="s">
        <v>427</v>
      </c>
      <c r="E169" s="736"/>
      <c r="F169" s="736">
        <v>441</v>
      </c>
      <c r="G169" s="737">
        <v>441</v>
      </c>
      <c r="H169" s="764"/>
      <c r="I169" s="765"/>
      <c r="J169" s="766"/>
      <c r="K169" s="766"/>
      <c r="L169" s="766"/>
      <c r="M169" s="766"/>
      <c r="N169" s="767"/>
    </row>
    <row r="170" spans="1:14" s="768" customFormat="1" ht="22.5" customHeight="1" x14ac:dyDescent="0.3">
      <c r="A170" s="716">
        <v>162</v>
      </c>
      <c r="B170" s="762"/>
      <c r="C170" s="745">
        <v>14</v>
      </c>
      <c r="D170" s="746" t="s">
        <v>328</v>
      </c>
      <c r="E170" s="736">
        <v>1250</v>
      </c>
      <c r="F170" s="736">
        <v>1250</v>
      </c>
      <c r="G170" s="737">
        <v>1250</v>
      </c>
      <c r="H170" s="738" t="s">
        <v>24</v>
      </c>
      <c r="I170" s="765"/>
      <c r="J170" s="766"/>
      <c r="K170" s="766"/>
      <c r="L170" s="766"/>
      <c r="M170" s="766"/>
      <c r="N170" s="767"/>
    </row>
    <row r="171" spans="1:14" s="777" customFormat="1" ht="18" customHeight="1" x14ac:dyDescent="0.3">
      <c r="A171" s="716">
        <v>163</v>
      </c>
      <c r="B171" s="775"/>
      <c r="C171" s="758"/>
      <c r="D171" s="241" t="s">
        <v>245</v>
      </c>
      <c r="E171" s="759"/>
      <c r="F171" s="759"/>
      <c r="G171" s="1366"/>
      <c r="H171" s="760"/>
      <c r="I171" s="739">
        <f>SUM(J171:N171)</f>
        <v>1250</v>
      </c>
      <c r="J171" s="776"/>
      <c r="K171" s="776"/>
      <c r="L171" s="776"/>
      <c r="M171" s="776"/>
      <c r="N171" s="750">
        <v>1250</v>
      </c>
    </row>
    <row r="172" spans="1:14" s="777" customFormat="1" ht="18" customHeight="1" x14ac:dyDescent="0.3">
      <c r="A172" s="716">
        <v>164</v>
      </c>
      <c r="B172" s="775"/>
      <c r="C172" s="758"/>
      <c r="D172" s="377" t="s">
        <v>810</v>
      </c>
      <c r="E172" s="759"/>
      <c r="F172" s="759"/>
      <c r="G172" s="1366"/>
      <c r="H172" s="760"/>
      <c r="I172" s="1446">
        <f>SUM(J172:N172)</f>
        <v>5597</v>
      </c>
      <c r="J172" s="1106"/>
      <c r="K172" s="1106"/>
      <c r="L172" s="1106"/>
      <c r="M172" s="1106"/>
      <c r="N172" s="1104">
        <v>5597</v>
      </c>
    </row>
    <row r="173" spans="1:14" s="777" customFormat="1" ht="18" customHeight="1" x14ac:dyDescent="0.3">
      <c r="A173" s="716">
        <v>165</v>
      </c>
      <c r="B173" s="775"/>
      <c r="C173" s="758"/>
      <c r="D173" s="910" t="s">
        <v>1112</v>
      </c>
      <c r="E173" s="759"/>
      <c r="F173" s="759"/>
      <c r="G173" s="1366"/>
      <c r="H173" s="760"/>
      <c r="I173" s="299">
        <f>SUM(J173:Q173)</f>
        <v>1560</v>
      </c>
      <c r="J173" s="1099"/>
      <c r="K173" s="1099"/>
      <c r="L173" s="1099"/>
      <c r="M173" s="1099"/>
      <c r="N173" s="1115">
        <v>1560</v>
      </c>
    </row>
    <row r="174" spans="1:14" s="777" customFormat="1" ht="18" customHeight="1" x14ac:dyDescent="0.3">
      <c r="A174" s="716">
        <v>166</v>
      </c>
      <c r="B174" s="775"/>
      <c r="C174" s="758"/>
      <c r="D174" s="377" t="s">
        <v>858</v>
      </c>
      <c r="E174" s="759"/>
      <c r="F174" s="759"/>
      <c r="G174" s="1366"/>
      <c r="H174" s="760"/>
      <c r="I174" s="443">
        <f>SUM(J174:Q174)</f>
        <v>7157</v>
      </c>
      <c r="J174" s="1099"/>
      <c r="K174" s="1099"/>
      <c r="L174" s="1099"/>
      <c r="M174" s="1099"/>
      <c r="N174" s="1104">
        <f>SUM(N172:N173)</f>
        <v>7157</v>
      </c>
    </row>
    <row r="175" spans="1:14" s="768" customFormat="1" ht="22.5" customHeight="1" x14ac:dyDescent="0.3">
      <c r="A175" s="716">
        <v>167</v>
      </c>
      <c r="B175" s="762"/>
      <c r="C175" s="745">
        <v>15</v>
      </c>
      <c r="D175" s="746" t="s">
        <v>329</v>
      </c>
      <c r="E175" s="736">
        <v>5653</v>
      </c>
      <c r="F175" s="736">
        <v>5000</v>
      </c>
      <c r="G175" s="737">
        <v>5000</v>
      </c>
      <c r="H175" s="738" t="s">
        <v>24</v>
      </c>
      <c r="I175" s="765"/>
      <c r="J175" s="766"/>
      <c r="K175" s="766"/>
      <c r="L175" s="766"/>
      <c r="M175" s="766"/>
      <c r="N175" s="767"/>
    </row>
    <row r="176" spans="1:14" s="777" customFormat="1" ht="18" customHeight="1" x14ac:dyDescent="0.3">
      <c r="A176" s="716">
        <v>168</v>
      </c>
      <c r="B176" s="775"/>
      <c r="C176" s="758"/>
      <c r="D176" s="241" t="s">
        <v>245</v>
      </c>
      <c r="E176" s="759"/>
      <c r="F176" s="759"/>
      <c r="G176" s="1366"/>
      <c r="H176" s="760"/>
      <c r="I176" s="739">
        <f>SUM(J176:N176)</f>
        <v>1250</v>
      </c>
      <c r="J176" s="776"/>
      <c r="K176" s="776"/>
      <c r="L176" s="776"/>
      <c r="M176" s="776"/>
      <c r="N176" s="750">
        <v>1250</v>
      </c>
    </row>
    <row r="177" spans="1:16" s="777" customFormat="1" ht="18" customHeight="1" x14ac:dyDescent="0.3">
      <c r="A177" s="716">
        <v>169</v>
      </c>
      <c r="B177" s="775"/>
      <c r="C177" s="758"/>
      <c r="D177" s="377" t="s">
        <v>810</v>
      </c>
      <c r="E177" s="759"/>
      <c r="F177" s="759"/>
      <c r="G177" s="1366"/>
      <c r="H177" s="760"/>
      <c r="I177" s="1446">
        <f>SUM(J177:N177)</f>
        <v>1250</v>
      </c>
      <c r="J177" s="1106"/>
      <c r="K177" s="1106"/>
      <c r="L177" s="1106"/>
      <c r="M177" s="1106"/>
      <c r="N177" s="1104">
        <v>1250</v>
      </c>
    </row>
    <row r="178" spans="1:16" s="777" customFormat="1" ht="18" customHeight="1" x14ac:dyDescent="0.3">
      <c r="A178" s="716">
        <v>170</v>
      </c>
      <c r="B178" s="775"/>
      <c r="C178" s="758"/>
      <c r="D178" s="910" t="s">
        <v>652</v>
      </c>
      <c r="E178" s="759"/>
      <c r="F178" s="759"/>
      <c r="G178" s="1366"/>
      <c r="H178" s="760"/>
      <c r="I178" s="299">
        <f>SUM(J178:Q178)</f>
        <v>0</v>
      </c>
      <c r="J178" s="1099"/>
      <c r="K178" s="1099"/>
      <c r="L178" s="1099"/>
      <c r="M178" s="1099"/>
      <c r="N178" s="1104"/>
    </row>
    <row r="179" spans="1:16" s="777" customFormat="1" ht="18" customHeight="1" x14ac:dyDescent="0.3">
      <c r="A179" s="716">
        <v>171</v>
      </c>
      <c r="B179" s="775"/>
      <c r="C179" s="758"/>
      <c r="D179" s="377" t="s">
        <v>858</v>
      </c>
      <c r="E179" s="759"/>
      <c r="F179" s="759"/>
      <c r="G179" s="1366"/>
      <c r="H179" s="760"/>
      <c r="I179" s="443">
        <f>SUM(J179:Q179)</f>
        <v>1250</v>
      </c>
      <c r="J179" s="1099"/>
      <c r="K179" s="1099"/>
      <c r="L179" s="1099"/>
      <c r="M179" s="1099"/>
      <c r="N179" s="1104">
        <f>SUM(N177:N178)</f>
        <v>1250</v>
      </c>
    </row>
    <row r="180" spans="1:16" s="768" customFormat="1" ht="22.5" customHeight="1" x14ac:dyDescent="0.3">
      <c r="A180" s="716">
        <v>172</v>
      </c>
      <c r="B180" s="762"/>
      <c r="C180" s="745">
        <v>16</v>
      </c>
      <c r="D180" s="746" t="s">
        <v>513</v>
      </c>
      <c r="E180" s="736"/>
      <c r="F180" s="736">
        <v>2100</v>
      </c>
      <c r="G180" s="737">
        <v>2100</v>
      </c>
      <c r="H180" s="738" t="s">
        <v>24</v>
      </c>
      <c r="I180" s="765"/>
      <c r="J180" s="766"/>
      <c r="K180" s="766"/>
      <c r="L180" s="766"/>
      <c r="M180" s="766"/>
      <c r="N180" s="767"/>
    </row>
    <row r="181" spans="1:16" s="777" customFormat="1" ht="18" customHeight="1" x14ac:dyDescent="0.3">
      <c r="A181" s="716">
        <v>173</v>
      </c>
      <c r="B181" s="775"/>
      <c r="C181" s="758"/>
      <c r="D181" s="241" t="s">
        <v>245</v>
      </c>
      <c r="E181" s="759"/>
      <c r="F181" s="759"/>
      <c r="G181" s="1366"/>
      <c r="H181" s="778"/>
      <c r="I181" s="739">
        <f>SUM(J181:N181)</f>
        <v>1250</v>
      </c>
      <c r="J181" s="776"/>
      <c r="K181" s="776"/>
      <c r="L181" s="776"/>
      <c r="M181" s="776"/>
      <c r="N181" s="750">
        <v>1250</v>
      </c>
    </row>
    <row r="182" spans="1:16" s="777" customFormat="1" ht="18" customHeight="1" x14ac:dyDescent="0.3">
      <c r="A182" s="716">
        <v>174</v>
      </c>
      <c r="B182" s="775"/>
      <c r="C182" s="758"/>
      <c r="D182" s="377" t="s">
        <v>810</v>
      </c>
      <c r="E182" s="759"/>
      <c r="F182" s="759"/>
      <c r="G182" s="1366"/>
      <c r="H182" s="778"/>
      <c r="I182" s="1446">
        <f>SUM(J182:N182)</f>
        <v>1250</v>
      </c>
      <c r="J182" s="1106"/>
      <c r="K182" s="1106"/>
      <c r="L182" s="1106"/>
      <c r="M182" s="1106"/>
      <c r="N182" s="1104">
        <v>1250</v>
      </c>
    </row>
    <row r="183" spans="1:16" s="777" customFormat="1" ht="18" customHeight="1" x14ac:dyDescent="0.3">
      <c r="A183" s="716">
        <v>175</v>
      </c>
      <c r="B183" s="775"/>
      <c r="C183" s="758"/>
      <c r="D183" s="910" t="s">
        <v>652</v>
      </c>
      <c r="E183" s="759"/>
      <c r="F183" s="759"/>
      <c r="G183" s="1366"/>
      <c r="H183" s="778"/>
      <c r="I183" s="299">
        <f>SUM(J183:Q183)</f>
        <v>0</v>
      </c>
      <c r="J183" s="1099"/>
      <c r="K183" s="1099"/>
      <c r="L183" s="1099"/>
      <c r="M183" s="1099"/>
      <c r="N183" s="1104"/>
    </row>
    <row r="184" spans="1:16" s="777" customFormat="1" ht="18" customHeight="1" x14ac:dyDescent="0.3">
      <c r="A184" s="716">
        <v>176</v>
      </c>
      <c r="B184" s="775"/>
      <c r="C184" s="758"/>
      <c r="D184" s="377" t="s">
        <v>858</v>
      </c>
      <c r="E184" s="759"/>
      <c r="F184" s="759"/>
      <c r="G184" s="1366"/>
      <c r="H184" s="778"/>
      <c r="I184" s="443">
        <f>SUM(J184:Q184)</f>
        <v>1250</v>
      </c>
      <c r="J184" s="1099"/>
      <c r="K184" s="1099"/>
      <c r="L184" s="1099"/>
      <c r="M184" s="1099"/>
      <c r="N184" s="1104">
        <f>SUM(N182:N183)</f>
        <v>1250</v>
      </c>
    </row>
    <row r="185" spans="1:16" s="768" customFormat="1" ht="23.45" customHeight="1" x14ac:dyDescent="0.3">
      <c r="A185" s="716">
        <v>177</v>
      </c>
      <c r="B185" s="762"/>
      <c r="C185" s="745">
        <v>17</v>
      </c>
      <c r="D185" s="746" t="s">
        <v>300</v>
      </c>
      <c r="E185" s="736">
        <v>500</v>
      </c>
      <c r="F185" s="736">
        <v>2500</v>
      </c>
      <c r="G185" s="737">
        <v>4200</v>
      </c>
      <c r="H185" s="738" t="s">
        <v>24</v>
      </c>
      <c r="I185" s="765"/>
      <c r="J185" s="766"/>
      <c r="K185" s="766"/>
      <c r="L185" s="766"/>
      <c r="M185" s="766"/>
      <c r="N185" s="767"/>
    </row>
    <row r="186" spans="1:16" s="733" customFormat="1" ht="22.5" customHeight="1" x14ac:dyDescent="0.3">
      <c r="A186" s="716">
        <v>178</v>
      </c>
      <c r="B186" s="744"/>
      <c r="C186" s="745">
        <v>19</v>
      </c>
      <c r="D186" s="746" t="s">
        <v>208</v>
      </c>
      <c r="E186" s="736">
        <f>SUM(E191,E196,E201,E206,E211)+E216</f>
        <v>101000</v>
      </c>
      <c r="F186" s="736">
        <f>SUM(F191,F196,F201,F206,F211)+F216</f>
        <v>141100</v>
      </c>
      <c r="G186" s="737">
        <f>SUM(G191,G196,G201,G206,G211)+G216</f>
        <v>149100</v>
      </c>
      <c r="H186" s="738" t="s">
        <v>24</v>
      </c>
      <c r="I186" s="751"/>
      <c r="J186" s="752"/>
      <c r="K186" s="752"/>
      <c r="L186" s="752"/>
      <c r="M186" s="752"/>
      <c r="N186" s="753"/>
      <c r="O186" s="743"/>
      <c r="P186" s="743"/>
    </row>
    <row r="187" spans="1:16" s="761" customFormat="1" ht="18" customHeight="1" x14ac:dyDescent="0.3">
      <c r="A187" s="716">
        <v>179</v>
      </c>
      <c r="B187" s="757"/>
      <c r="C187" s="758"/>
      <c r="D187" s="241" t="s">
        <v>245</v>
      </c>
      <c r="E187" s="759"/>
      <c r="F187" s="759"/>
      <c r="G187" s="1366"/>
      <c r="H187" s="760"/>
      <c r="I187" s="739">
        <f>SUM(J187:N187)</f>
        <v>183000</v>
      </c>
      <c r="J187" s="754">
        <f>SUM(J192,)+J197+J202+J207+J212+J217+J222</f>
        <v>0</v>
      </c>
      <c r="K187" s="754">
        <f t="shared" ref="K187:N187" si="13">SUM(K192,)+K197+K202+K207+K212+K217+K222</f>
        <v>0</v>
      </c>
      <c r="L187" s="754">
        <f t="shared" si="13"/>
        <v>0</v>
      </c>
      <c r="M187" s="754">
        <f t="shared" si="13"/>
        <v>0</v>
      </c>
      <c r="N187" s="755">
        <f t="shared" si="13"/>
        <v>183000</v>
      </c>
    </row>
    <row r="188" spans="1:16" s="761" customFormat="1" ht="18" customHeight="1" x14ac:dyDescent="0.3">
      <c r="A188" s="716">
        <v>180</v>
      </c>
      <c r="B188" s="757"/>
      <c r="C188" s="758"/>
      <c r="D188" s="377" t="s">
        <v>810</v>
      </c>
      <c r="E188" s="759"/>
      <c r="F188" s="759"/>
      <c r="G188" s="1366"/>
      <c r="H188" s="760"/>
      <c r="I188" s="1446">
        <f>SUM(J188:N188)</f>
        <v>186000</v>
      </c>
      <c r="J188" s="1100">
        <f>SUM(J193,)+J198+J203+J208+J213+J218+J223</f>
        <v>0</v>
      </c>
      <c r="K188" s="1100">
        <f t="shared" ref="K188:N188" si="14">SUM(K193,)+K198+K203+K208+K213+K218+K223</f>
        <v>0</v>
      </c>
      <c r="L188" s="1100">
        <f t="shared" si="14"/>
        <v>0</v>
      </c>
      <c r="M188" s="1100">
        <f t="shared" si="14"/>
        <v>0</v>
      </c>
      <c r="N188" s="1108">
        <f t="shared" si="14"/>
        <v>186000</v>
      </c>
    </row>
    <row r="189" spans="1:16" s="761" customFormat="1" ht="18" customHeight="1" x14ac:dyDescent="0.3">
      <c r="A189" s="716">
        <v>181</v>
      </c>
      <c r="B189" s="757"/>
      <c r="C189" s="758"/>
      <c r="D189" s="910" t="s">
        <v>652</v>
      </c>
      <c r="E189" s="759"/>
      <c r="F189" s="759"/>
      <c r="G189" s="1366"/>
      <c r="H189" s="760"/>
      <c r="I189" s="299">
        <f>SUM(J189:Q189)</f>
        <v>0</v>
      </c>
      <c r="J189" s="1110">
        <f>SUM(J194,)+J199+J204+J209+J214+J219+J224</f>
        <v>0</v>
      </c>
      <c r="K189" s="1110">
        <f t="shared" ref="K189:N189" si="15">SUM(K194,)+K199+K204+K209+K214+K219+K224</f>
        <v>0</v>
      </c>
      <c r="L189" s="1110">
        <f t="shared" si="15"/>
        <v>0</v>
      </c>
      <c r="M189" s="1110">
        <f t="shared" si="15"/>
        <v>0</v>
      </c>
      <c r="N189" s="1116">
        <f t="shared" si="15"/>
        <v>0</v>
      </c>
    </row>
    <row r="190" spans="1:16" s="761" customFormat="1" ht="18" customHeight="1" x14ac:dyDescent="0.3">
      <c r="A190" s="716">
        <v>182</v>
      </c>
      <c r="B190" s="757"/>
      <c r="C190" s="758"/>
      <c r="D190" s="377" t="s">
        <v>858</v>
      </c>
      <c r="E190" s="759"/>
      <c r="F190" s="759"/>
      <c r="G190" s="1366"/>
      <c r="H190" s="760"/>
      <c r="I190" s="443">
        <f>SUM(J190:Q190)</f>
        <v>186000</v>
      </c>
      <c r="J190" s="1100">
        <f>SUM(J187:J189)</f>
        <v>0</v>
      </c>
      <c r="K190" s="1100">
        <f t="shared" ref="K190:M190" si="16">SUM(K187:K189)</f>
        <v>0</v>
      </c>
      <c r="L190" s="1100">
        <f t="shared" si="16"/>
        <v>0</v>
      </c>
      <c r="M190" s="1100">
        <f t="shared" si="16"/>
        <v>0</v>
      </c>
      <c r="N190" s="1108">
        <f>SUM(N188:N189)</f>
        <v>186000</v>
      </c>
    </row>
    <row r="191" spans="1:16" s="768" customFormat="1" ht="18" customHeight="1" x14ac:dyDescent="0.3">
      <c r="A191" s="716">
        <v>183</v>
      </c>
      <c r="B191" s="762"/>
      <c r="C191" s="763"/>
      <c r="D191" s="779" t="s">
        <v>50</v>
      </c>
      <c r="E191" s="736">
        <v>80000</v>
      </c>
      <c r="F191" s="736">
        <v>98000</v>
      </c>
      <c r="G191" s="737">
        <v>98000</v>
      </c>
      <c r="H191" s="764"/>
      <c r="I191" s="765"/>
      <c r="J191" s="766"/>
      <c r="K191" s="766"/>
      <c r="L191" s="766"/>
      <c r="M191" s="766"/>
      <c r="N191" s="767"/>
      <c r="P191" s="743"/>
    </row>
    <row r="192" spans="1:16" s="777" customFormat="1" ht="18" customHeight="1" x14ac:dyDescent="0.3">
      <c r="A192" s="716">
        <v>184</v>
      </c>
      <c r="B192" s="775"/>
      <c r="C192" s="758"/>
      <c r="D192" s="774" t="s">
        <v>245</v>
      </c>
      <c r="E192" s="759"/>
      <c r="F192" s="759"/>
      <c r="G192" s="1366"/>
      <c r="H192" s="778"/>
      <c r="I192" s="769">
        <f>SUM(J192:N192)</f>
        <v>147000</v>
      </c>
      <c r="J192" s="776"/>
      <c r="K192" s="776"/>
      <c r="L192" s="776"/>
      <c r="M192" s="776"/>
      <c r="N192" s="767">
        <v>147000</v>
      </c>
      <c r="P192" s="761"/>
    </row>
    <row r="193" spans="1:16" s="777" customFormat="1" ht="18" customHeight="1" x14ac:dyDescent="0.3">
      <c r="A193" s="716">
        <v>185</v>
      </c>
      <c r="B193" s="775"/>
      <c r="C193" s="758"/>
      <c r="D193" s="792" t="s">
        <v>810</v>
      </c>
      <c r="E193" s="759"/>
      <c r="F193" s="759"/>
      <c r="G193" s="1366"/>
      <c r="H193" s="778"/>
      <c r="I193" s="1448">
        <f>SUM(J193:N193)</f>
        <v>147000</v>
      </c>
      <c r="J193" s="1106"/>
      <c r="K193" s="1106"/>
      <c r="L193" s="1106"/>
      <c r="M193" s="1106"/>
      <c r="N193" s="1115">
        <v>147000</v>
      </c>
      <c r="P193" s="761"/>
    </row>
    <row r="194" spans="1:16" s="777" customFormat="1" ht="18" customHeight="1" x14ac:dyDescent="0.3">
      <c r="A194" s="716">
        <v>186</v>
      </c>
      <c r="B194" s="775"/>
      <c r="C194" s="758"/>
      <c r="D194" s="792" t="s">
        <v>652</v>
      </c>
      <c r="E194" s="759"/>
      <c r="F194" s="759"/>
      <c r="G194" s="1366"/>
      <c r="H194" s="778"/>
      <c r="I194" s="299">
        <f>SUM(J194:Q194)</f>
        <v>0</v>
      </c>
      <c r="J194" s="776"/>
      <c r="K194" s="776"/>
      <c r="L194" s="776"/>
      <c r="M194" s="776"/>
      <c r="N194" s="767"/>
      <c r="P194" s="761"/>
    </row>
    <row r="195" spans="1:16" s="777" customFormat="1" ht="18" customHeight="1" x14ac:dyDescent="0.3">
      <c r="A195" s="716">
        <v>187</v>
      </c>
      <c r="B195" s="775"/>
      <c r="C195" s="758"/>
      <c r="D195" s="792" t="s">
        <v>858</v>
      </c>
      <c r="E195" s="759"/>
      <c r="F195" s="759"/>
      <c r="G195" s="1366"/>
      <c r="H195" s="778"/>
      <c r="I195" s="299">
        <f>SUM(J195:Q195)</f>
        <v>147000</v>
      </c>
      <c r="J195" s="1105"/>
      <c r="K195" s="1105"/>
      <c r="L195" s="1105"/>
      <c r="M195" s="1105"/>
      <c r="N195" s="1115">
        <f>SUM(N193:N194)</f>
        <v>147000</v>
      </c>
      <c r="P195" s="761"/>
    </row>
    <row r="196" spans="1:16" s="768" customFormat="1" ht="18" customHeight="1" x14ac:dyDescent="0.3">
      <c r="A196" s="716">
        <v>188</v>
      </c>
      <c r="B196" s="762"/>
      <c r="C196" s="763"/>
      <c r="D196" s="780" t="s">
        <v>51</v>
      </c>
      <c r="E196" s="736">
        <v>4500</v>
      </c>
      <c r="F196" s="736">
        <v>11600</v>
      </c>
      <c r="G196" s="737">
        <v>19600</v>
      </c>
      <c r="H196" s="764"/>
      <c r="I196" s="770"/>
      <c r="J196" s="771"/>
      <c r="K196" s="771"/>
      <c r="L196" s="771"/>
      <c r="M196" s="771"/>
      <c r="N196" s="772"/>
      <c r="P196" s="743"/>
    </row>
    <row r="197" spans="1:16" s="768" customFormat="1" ht="18" customHeight="1" x14ac:dyDescent="0.3">
      <c r="A197" s="716">
        <v>189</v>
      </c>
      <c r="B197" s="762"/>
      <c r="C197" s="763"/>
      <c r="D197" s="774" t="s">
        <v>245</v>
      </c>
      <c r="E197" s="736"/>
      <c r="F197" s="736"/>
      <c r="G197" s="737"/>
      <c r="H197" s="764"/>
      <c r="I197" s="769">
        <f>SUM(J197:N197)</f>
        <v>8000</v>
      </c>
      <c r="J197" s="771"/>
      <c r="K197" s="771"/>
      <c r="L197" s="771"/>
      <c r="M197" s="771"/>
      <c r="N197" s="772">
        <v>8000</v>
      </c>
      <c r="P197" s="743"/>
    </row>
    <row r="198" spans="1:16" s="768" customFormat="1" ht="18" customHeight="1" x14ac:dyDescent="0.3">
      <c r="A198" s="716">
        <v>190</v>
      </c>
      <c r="B198" s="762"/>
      <c r="C198" s="763"/>
      <c r="D198" s="792" t="s">
        <v>810</v>
      </c>
      <c r="E198" s="736"/>
      <c r="F198" s="736"/>
      <c r="G198" s="737"/>
      <c r="H198" s="764"/>
      <c r="I198" s="1448">
        <f>SUM(J198:N198)</f>
        <v>8000</v>
      </c>
      <c r="J198" s="1110"/>
      <c r="K198" s="1110"/>
      <c r="L198" s="1110"/>
      <c r="M198" s="1110"/>
      <c r="N198" s="1116">
        <v>8000</v>
      </c>
      <c r="P198" s="743"/>
    </row>
    <row r="199" spans="1:16" s="768" customFormat="1" ht="18" customHeight="1" x14ac:dyDescent="0.3">
      <c r="A199" s="716">
        <v>191</v>
      </c>
      <c r="B199" s="762"/>
      <c r="C199" s="763"/>
      <c r="D199" s="792" t="s">
        <v>652</v>
      </c>
      <c r="E199" s="736"/>
      <c r="F199" s="736"/>
      <c r="G199" s="737"/>
      <c r="H199" s="764"/>
      <c r="I199" s="299">
        <f>SUM(J199:Q199)</f>
        <v>0</v>
      </c>
      <c r="J199" s="771"/>
      <c r="K199" s="771"/>
      <c r="L199" s="771"/>
      <c r="M199" s="771"/>
      <c r="N199" s="772"/>
      <c r="P199" s="743"/>
    </row>
    <row r="200" spans="1:16" s="768" customFormat="1" ht="18" customHeight="1" x14ac:dyDescent="0.3">
      <c r="A200" s="716">
        <v>192</v>
      </c>
      <c r="B200" s="762"/>
      <c r="C200" s="763"/>
      <c r="D200" s="792" t="s">
        <v>858</v>
      </c>
      <c r="E200" s="736"/>
      <c r="F200" s="736"/>
      <c r="G200" s="737"/>
      <c r="H200" s="764"/>
      <c r="I200" s="299">
        <f>SUM(J200:Q200)</f>
        <v>8000</v>
      </c>
      <c r="J200" s="1110"/>
      <c r="K200" s="1110"/>
      <c r="L200" s="1110"/>
      <c r="M200" s="1110"/>
      <c r="N200" s="1116">
        <f>SUM(N198:N199)</f>
        <v>8000</v>
      </c>
      <c r="P200" s="743"/>
    </row>
    <row r="201" spans="1:16" s="768" customFormat="1" ht="18" customHeight="1" x14ac:dyDescent="0.3">
      <c r="A201" s="716">
        <v>193</v>
      </c>
      <c r="B201" s="762"/>
      <c r="C201" s="735"/>
      <c r="D201" s="780" t="s">
        <v>52</v>
      </c>
      <c r="E201" s="736">
        <v>9500</v>
      </c>
      <c r="F201" s="736">
        <v>9500</v>
      </c>
      <c r="G201" s="737">
        <v>9500</v>
      </c>
      <c r="H201" s="764"/>
      <c r="I201" s="770"/>
      <c r="J201" s="771"/>
      <c r="K201" s="771"/>
      <c r="L201" s="771"/>
      <c r="M201" s="771"/>
      <c r="N201" s="772"/>
      <c r="P201" s="743"/>
    </row>
    <row r="202" spans="1:16" s="768" customFormat="1" ht="18" customHeight="1" x14ac:dyDescent="0.3">
      <c r="A202" s="716">
        <v>194</v>
      </c>
      <c r="B202" s="762"/>
      <c r="C202" s="735"/>
      <c r="D202" s="774" t="s">
        <v>245</v>
      </c>
      <c r="E202" s="736"/>
      <c r="F202" s="736"/>
      <c r="G202" s="737"/>
      <c r="H202" s="764"/>
      <c r="I202" s="769">
        <f>SUM(J202:N202)</f>
        <v>9500</v>
      </c>
      <c r="J202" s="771"/>
      <c r="K202" s="771"/>
      <c r="L202" s="771"/>
      <c r="M202" s="771"/>
      <c r="N202" s="772">
        <v>9500</v>
      </c>
      <c r="P202" s="743"/>
    </row>
    <row r="203" spans="1:16" s="768" customFormat="1" ht="18" customHeight="1" x14ac:dyDescent="0.3">
      <c r="A203" s="716">
        <v>195</v>
      </c>
      <c r="B203" s="762"/>
      <c r="C203" s="735"/>
      <c r="D203" s="792" t="s">
        <v>810</v>
      </c>
      <c r="E203" s="736"/>
      <c r="F203" s="736"/>
      <c r="G203" s="737"/>
      <c r="H203" s="764"/>
      <c r="I203" s="1448">
        <f>SUM(J203:N203)</f>
        <v>12500</v>
      </c>
      <c r="J203" s="1110"/>
      <c r="K203" s="1110"/>
      <c r="L203" s="1110"/>
      <c r="M203" s="1110"/>
      <c r="N203" s="1116">
        <v>12500</v>
      </c>
      <c r="P203" s="743"/>
    </row>
    <row r="204" spans="1:16" s="768" customFormat="1" ht="18" customHeight="1" x14ac:dyDescent="0.3">
      <c r="A204" s="716">
        <v>196</v>
      </c>
      <c r="B204" s="762"/>
      <c r="C204" s="735"/>
      <c r="D204" s="792" t="s">
        <v>652</v>
      </c>
      <c r="E204" s="736"/>
      <c r="F204" s="736"/>
      <c r="G204" s="737"/>
      <c r="H204" s="764"/>
      <c r="I204" s="299">
        <f>SUM(J204:Q204)</f>
        <v>0</v>
      </c>
      <c r="J204" s="771"/>
      <c r="K204" s="771"/>
      <c r="L204" s="771"/>
      <c r="M204" s="771"/>
      <c r="N204" s="1116"/>
      <c r="P204" s="743"/>
    </row>
    <row r="205" spans="1:16" s="768" customFormat="1" ht="18" customHeight="1" x14ac:dyDescent="0.3">
      <c r="A205" s="716">
        <v>197</v>
      </c>
      <c r="B205" s="762"/>
      <c r="C205" s="735"/>
      <c r="D205" s="792" t="s">
        <v>858</v>
      </c>
      <c r="E205" s="736"/>
      <c r="F205" s="736"/>
      <c r="G205" s="737"/>
      <c r="H205" s="764"/>
      <c r="I205" s="299">
        <f>SUM(J205:Q205)</f>
        <v>12500</v>
      </c>
      <c r="J205" s="1110"/>
      <c r="K205" s="1110"/>
      <c r="L205" s="1110"/>
      <c r="M205" s="1110"/>
      <c r="N205" s="1116">
        <f>SUM(N203:N204)</f>
        <v>12500</v>
      </c>
      <c r="P205" s="743"/>
    </row>
    <row r="206" spans="1:16" s="768" customFormat="1" ht="18" customHeight="1" x14ac:dyDescent="0.3">
      <c r="A206" s="716">
        <v>198</v>
      </c>
      <c r="B206" s="762"/>
      <c r="C206" s="735"/>
      <c r="D206" s="780" t="s">
        <v>53</v>
      </c>
      <c r="E206" s="736">
        <v>3000</v>
      </c>
      <c r="F206" s="736">
        <v>8000</v>
      </c>
      <c r="G206" s="737">
        <v>8000</v>
      </c>
      <c r="H206" s="764"/>
      <c r="I206" s="770"/>
      <c r="J206" s="771"/>
      <c r="K206" s="771"/>
      <c r="L206" s="771"/>
      <c r="M206" s="771"/>
      <c r="N206" s="772"/>
      <c r="P206" s="743"/>
    </row>
    <row r="207" spans="1:16" s="768" customFormat="1" ht="18" customHeight="1" x14ac:dyDescent="0.3">
      <c r="A207" s="716">
        <v>199</v>
      </c>
      <c r="B207" s="762"/>
      <c r="C207" s="735"/>
      <c r="D207" s="774" t="s">
        <v>245</v>
      </c>
      <c r="E207" s="736"/>
      <c r="F207" s="736"/>
      <c r="G207" s="737"/>
      <c r="H207" s="764"/>
      <c r="I207" s="769">
        <f>SUM(J207:N207)</f>
        <v>6000</v>
      </c>
      <c r="J207" s="771"/>
      <c r="K207" s="771"/>
      <c r="L207" s="771"/>
      <c r="M207" s="771"/>
      <c r="N207" s="772">
        <v>6000</v>
      </c>
      <c r="P207" s="743"/>
    </row>
    <row r="208" spans="1:16" s="768" customFormat="1" ht="18" customHeight="1" x14ac:dyDescent="0.3">
      <c r="A208" s="716">
        <v>200</v>
      </c>
      <c r="B208" s="762"/>
      <c r="C208" s="735"/>
      <c r="D208" s="792" t="s">
        <v>810</v>
      </c>
      <c r="E208" s="736"/>
      <c r="F208" s="736"/>
      <c r="G208" s="737"/>
      <c r="H208" s="764"/>
      <c r="I208" s="1448">
        <f>SUM(J208:N208)</f>
        <v>6000</v>
      </c>
      <c r="J208" s="1110"/>
      <c r="K208" s="1110"/>
      <c r="L208" s="1110"/>
      <c r="M208" s="1110"/>
      <c r="N208" s="1116">
        <v>6000</v>
      </c>
      <c r="P208" s="743"/>
    </row>
    <row r="209" spans="1:16" s="768" customFormat="1" ht="18" customHeight="1" x14ac:dyDescent="0.3">
      <c r="A209" s="716">
        <v>201</v>
      </c>
      <c r="B209" s="762"/>
      <c r="C209" s="735"/>
      <c r="D209" s="792" t="s">
        <v>652</v>
      </c>
      <c r="E209" s="736"/>
      <c r="F209" s="736"/>
      <c r="G209" s="737"/>
      <c r="H209" s="764"/>
      <c r="I209" s="299">
        <f>SUM(J209:Q209)</f>
        <v>0</v>
      </c>
      <c r="J209" s="771"/>
      <c r="K209" s="771"/>
      <c r="L209" s="771"/>
      <c r="M209" s="771"/>
      <c r="N209" s="772"/>
      <c r="P209" s="743"/>
    </row>
    <row r="210" spans="1:16" s="768" customFormat="1" ht="18" customHeight="1" x14ac:dyDescent="0.3">
      <c r="A210" s="716">
        <v>202</v>
      </c>
      <c r="B210" s="762"/>
      <c r="C210" s="735"/>
      <c r="D210" s="792" t="s">
        <v>858</v>
      </c>
      <c r="E210" s="736"/>
      <c r="F210" s="736"/>
      <c r="G210" s="737"/>
      <c r="H210" s="764"/>
      <c r="I210" s="299">
        <f>SUM(J210:Q210)</f>
        <v>6000</v>
      </c>
      <c r="J210" s="1110"/>
      <c r="K210" s="1110"/>
      <c r="L210" s="1110"/>
      <c r="M210" s="1110"/>
      <c r="N210" s="1116">
        <f>SUM(N208:N209)</f>
        <v>6000</v>
      </c>
      <c r="P210" s="743"/>
    </row>
    <row r="211" spans="1:16" s="768" customFormat="1" ht="18" customHeight="1" x14ac:dyDescent="0.3">
      <c r="A211" s="716">
        <v>203</v>
      </c>
      <c r="B211" s="762"/>
      <c r="C211" s="735"/>
      <c r="D211" s="780" t="s">
        <v>254</v>
      </c>
      <c r="E211" s="736">
        <v>2000</v>
      </c>
      <c r="F211" s="736">
        <v>7000</v>
      </c>
      <c r="G211" s="737">
        <v>7000</v>
      </c>
      <c r="H211" s="764"/>
      <c r="I211" s="770"/>
      <c r="J211" s="771"/>
      <c r="K211" s="771"/>
      <c r="L211" s="771"/>
      <c r="M211" s="771"/>
      <c r="N211" s="772"/>
      <c r="P211" s="743"/>
    </row>
    <row r="212" spans="1:16" s="768" customFormat="1" ht="18" customHeight="1" x14ac:dyDescent="0.3">
      <c r="A212" s="716">
        <v>204</v>
      </c>
      <c r="B212" s="762"/>
      <c r="C212" s="735"/>
      <c r="D212" s="774" t="s">
        <v>245</v>
      </c>
      <c r="E212" s="736"/>
      <c r="F212" s="736"/>
      <c r="G212" s="737"/>
      <c r="H212" s="764"/>
      <c r="I212" s="769">
        <f>SUM(J212:N212)</f>
        <v>5000</v>
      </c>
      <c r="J212" s="771"/>
      <c r="K212" s="771"/>
      <c r="L212" s="771"/>
      <c r="M212" s="771"/>
      <c r="N212" s="772">
        <v>5000</v>
      </c>
      <c r="P212" s="743"/>
    </row>
    <row r="213" spans="1:16" s="768" customFormat="1" ht="18" customHeight="1" x14ac:dyDescent="0.3">
      <c r="A213" s="716">
        <v>205</v>
      </c>
      <c r="B213" s="762"/>
      <c r="C213" s="735"/>
      <c r="D213" s="792" t="s">
        <v>810</v>
      </c>
      <c r="E213" s="736"/>
      <c r="F213" s="736"/>
      <c r="G213" s="737"/>
      <c r="H213" s="764"/>
      <c r="I213" s="1448">
        <f>SUM(J213:N213)</f>
        <v>5000</v>
      </c>
      <c r="J213" s="1110"/>
      <c r="K213" s="1110"/>
      <c r="L213" s="1110"/>
      <c r="M213" s="1110"/>
      <c r="N213" s="1116">
        <v>5000</v>
      </c>
      <c r="P213" s="743"/>
    </row>
    <row r="214" spans="1:16" s="768" customFormat="1" ht="18" customHeight="1" x14ac:dyDescent="0.3">
      <c r="A214" s="716">
        <v>206</v>
      </c>
      <c r="B214" s="762"/>
      <c r="C214" s="735"/>
      <c r="D214" s="792" t="s">
        <v>652</v>
      </c>
      <c r="E214" s="736"/>
      <c r="F214" s="736"/>
      <c r="G214" s="737"/>
      <c r="H214" s="764"/>
      <c r="I214" s="299">
        <f>SUM(J214:Q214)</f>
        <v>0</v>
      </c>
      <c r="J214" s="771"/>
      <c r="K214" s="771"/>
      <c r="L214" s="771"/>
      <c r="M214" s="771"/>
      <c r="N214" s="772"/>
      <c r="P214" s="743"/>
    </row>
    <row r="215" spans="1:16" s="768" customFormat="1" ht="18" customHeight="1" x14ac:dyDescent="0.3">
      <c r="A215" s="716">
        <v>207</v>
      </c>
      <c r="B215" s="762"/>
      <c r="C215" s="735"/>
      <c r="D215" s="792" t="s">
        <v>858</v>
      </c>
      <c r="E215" s="736"/>
      <c r="F215" s="736"/>
      <c r="G215" s="737"/>
      <c r="H215" s="764"/>
      <c r="I215" s="299">
        <f>SUM(J215:Q215)</f>
        <v>5000</v>
      </c>
      <c r="J215" s="1110"/>
      <c r="K215" s="1110"/>
      <c r="L215" s="1110"/>
      <c r="M215" s="1110"/>
      <c r="N215" s="1116">
        <f>SUM(N213:N214)</f>
        <v>5000</v>
      </c>
      <c r="P215" s="743"/>
    </row>
    <row r="216" spans="1:16" s="768" customFormat="1" ht="18" customHeight="1" x14ac:dyDescent="0.3">
      <c r="A216" s="716">
        <v>208</v>
      </c>
      <c r="B216" s="762"/>
      <c r="C216" s="735"/>
      <c r="D216" s="780" t="s">
        <v>428</v>
      </c>
      <c r="E216" s="736">
        <v>2000</v>
      </c>
      <c r="F216" s="736">
        <v>7000</v>
      </c>
      <c r="G216" s="737">
        <v>7000</v>
      </c>
      <c r="H216" s="764"/>
      <c r="I216" s="769"/>
      <c r="J216" s="771"/>
      <c r="K216" s="771"/>
      <c r="L216" s="771"/>
      <c r="M216" s="771"/>
      <c r="N216" s="772"/>
      <c r="P216" s="743"/>
    </row>
    <row r="217" spans="1:16" s="768" customFormat="1" ht="18" customHeight="1" x14ac:dyDescent="0.3">
      <c r="A217" s="716">
        <v>209</v>
      </c>
      <c r="B217" s="762"/>
      <c r="C217" s="735"/>
      <c r="D217" s="774" t="s">
        <v>245</v>
      </c>
      <c r="E217" s="736"/>
      <c r="F217" s="736"/>
      <c r="G217" s="737"/>
      <c r="H217" s="764"/>
      <c r="I217" s="769">
        <f>SUM(J217:N217)</f>
        <v>5000</v>
      </c>
      <c r="J217" s="771"/>
      <c r="K217" s="771"/>
      <c r="L217" s="771"/>
      <c r="M217" s="771"/>
      <c r="N217" s="772">
        <v>5000</v>
      </c>
      <c r="P217" s="743"/>
    </row>
    <row r="218" spans="1:16" s="768" customFormat="1" ht="18" customHeight="1" x14ac:dyDescent="0.3">
      <c r="A218" s="716">
        <v>210</v>
      </c>
      <c r="B218" s="762"/>
      <c r="C218" s="735"/>
      <c r="D218" s="792" t="s">
        <v>810</v>
      </c>
      <c r="E218" s="736"/>
      <c r="F218" s="736"/>
      <c r="G218" s="737"/>
      <c r="H218" s="764"/>
      <c r="I218" s="1448">
        <f>SUM(J218:N218)</f>
        <v>5000</v>
      </c>
      <c r="J218" s="1110"/>
      <c r="K218" s="1110"/>
      <c r="L218" s="1110"/>
      <c r="M218" s="1110"/>
      <c r="N218" s="1116">
        <v>5000</v>
      </c>
      <c r="P218" s="743"/>
    </row>
    <row r="219" spans="1:16" s="768" customFormat="1" ht="18" customHeight="1" x14ac:dyDescent="0.3">
      <c r="A219" s="716">
        <v>211</v>
      </c>
      <c r="B219" s="762"/>
      <c r="C219" s="735"/>
      <c r="D219" s="792" t="s">
        <v>652</v>
      </c>
      <c r="E219" s="736"/>
      <c r="F219" s="736"/>
      <c r="G219" s="737"/>
      <c r="H219" s="764"/>
      <c r="I219" s="299">
        <f>SUM(J219:Q219)</f>
        <v>0</v>
      </c>
      <c r="J219" s="771"/>
      <c r="K219" s="771"/>
      <c r="L219" s="771"/>
      <c r="M219" s="771"/>
      <c r="N219" s="772"/>
      <c r="P219" s="743"/>
    </row>
    <row r="220" spans="1:16" s="768" customFormat="1" ht="18" customHeight="1" x14ac:dyDescent="0.3">
      <c r="A220" s="716">
        <v>212</v>
      </c>
      <c r="B220" s="762"/>
      <c r="C220" s="735"/>
      <c r="D220" s="792" t="s">
        <v>858</v>
      </c>
      <c r="E220" s="736"/>
      <c r="F220" s="736"/>
      <c r="G220" s="737"/>
      <c r="H220" s="764"/>
      <c r="I220" s="299">
        <f>SUM(J220:Q220)</f>
        <v>5000</v>
      </c>
      <c r="J220" s="1110"/>
      <c r="K220" s="1110"/>
      <c r="L220" s="1110"/>
      <c r="M220" s="1110"/>
      <c r="N220" s="1116">
        <f>SUM(N218:N219)</f>
        <v>5000</v>
      </c>
      <c r="P220" s="743"/>
    </row>
    <row r="221" spans="1:16" s="768" customFormat="1" ht="18" customHeight="1" x14ac:dyDescent="0.3">
      <c r="A221" s="716">
        <v>213</v>
      </c>
      <c r="B221" s="762"/>
      <c r="C221" s="735"/>
      <c r="D221" s="780" t="s">
        <v>615</v>
      </c>
      <c r="E221" s="736"/>
      <c r="F221" s="736"/>
      <c r="G221" s="737"/>
      <c r="H221" s="764"/>
      <c r="I221" s="769"/>
      <c r="J221" s="771"/>
      <c r="K221" s="771"/>
      <c r="L221" s="771"/>
      <c r="M221" s="771"/>
      <c r="N221" s="772"/>
      <c r="P221" s="743"/>
    </row>
    <row r="222" spans="1:16" s="768" customFormat="1" ht="18" customHeight="1" x14ac:dyDescent="0.3">
      <c r="A222" s="716">
        <v>214</v>
      </c>
      <c r="B222" s="762"/>
      <c r="C222" s="735"/>
      <c r="D222" s="774" t="s">
        <v>245</v>
      </c>
      <c r="E222" s="736"/>
      <c r="F222" s="736"/>
      <c r="G222" s="737"/>
      <c r="H222" s="764"/>
      <c r="I222" s="769">
        <f>SUM(J222:N222)</f>
        <v>2500</v>
      </c>
      <c r="J222" s="771"/>
      <c r="K222" s="771"/>
      <c r="L222" s="771"/>
      <c r="M222" s="771"/>
      <c r="N222" s="772">
        <v>2500</v>
      </c>
      <c r="P222" s="743"/>
    </row>
    <row r="223" spans="1:16" s="768" customFormat="1" ht="18" customHeight="1" x14ac:dyDescent="0.3">
      <c r="A223" s="716">
        <v>215</v>
      </c>
      <c r="B223" s="762"/>
      <c r="C223" s="735"/>
      <c r="D223" s="792" t="s">
        <v>810</v>
      </c>
      <c r="E223" s="736"/>
      <c r="F223" s="736"/>
      <c r="G223" s="737"/>
      <c r="H223" s="764"/>
      <c r="I223" s="1448">
        <f>SUM(J223:N223)</f>
        <v>2500</v>
      </c>
      <c r="J223" s="1110"/>
      <c r="K223" s="1110"/>
      <c r="L223" s="1110"/>
      <c r="M223" s="1110"/>
      <c r="N223" s="1116">
        <v>2500</v>
      </c>
      <c r="P223" s="743"/>
    </row>
    <row r="224" spans="1:16" s="768" customFormat="1" ht="18" customHeight="1" x14ac:dyDescent="0.3">
      <c r="A224" s="716">
        <v>216</v>
      </c>
      <c r="B224" s="762"/>
      <c r="C224" s="735"/>
      <c r="D224" s="792" t="s">
        <v>652</v>
      </c>
      <c r="E224" s="736"/>
      <c r="F224" s="736"/>
      <c r="G224" s="737"/>
      <c r="H224" s="764"/>
      <c r="I224" s="299">
        <f>SUM(J224:Q224)</f>
        <v>0</v>
      </c>
      <c r="J224" s="771"/>
      <c r="K224" s="771"/>
      <c r="L224" s="771"/>
      <c r="M224" s="771"/>
      <c r="N224" s="772"/>
      <c r="P224" s="743"/>
    </row>
    <row r="225" spans="1:16" s="768" customFormat="1" ht="18" customHeight="1" x14ac:dyDescent="0.3">
      <c r="A225" s="716">
        <v>217</v>
      </c>
      <c r="B225" s="762"/>
      <c r="C225" s="735"/>
      <c r="D225" s="792" t="s">
        <v>858</v>
      </c>
      <c r="E225" s="736"/>
      <c r="F225" s="736"/>
      <c r="G225" s="737"/>
      <c r="H225" s="764"/>
      <c r="I225" s="299">
        <f>SUM(J225:Q225)</f>
        <v>2500</v>
      </c>
      <c r="J225" s="1110"/>
      <c r="K225" s="1110"/>
      <c r="L225" s="1110"/>
      <c r="M225" s="1110"/>
      <c r="N225" s="1116">
        <f>SUM(N223:N224)</f>
        <v>2500</v>
      </c>
      <c r="P225" s="743"/>
    </row>
    <row r="226" spans="1:16" s="768" customFormat="1" ht="22.5" customHeight="1" x14ac:dyDescent="0.3">
      <c r="A226" s="716">
        <v>218</v>
      </c>
      <c r="B226" s="762"/>
      <c r="C226" s="745">
        <v>20</v>
      </c>
      <c r="D226" s="746" t="s">
        <v>330</v>
      </c>
      <c r="E226" s="736"/>
      <c r="F226" s="736">
        <v>3800</v>
      </c>
      <c r="G226" s="737"/>
      <c r="H226" s="738" t="s">
        <v>24</v>
      </c>
      <c r="I226" s="739"/>
      <c r="J226" s="766"/>
      <c r="K226" s="766"/>
      <c r="L226" s="766"/>
      <c r="M226" s="766"/>
      <c r="N226" s="767"/>
      <c r="P226" s="743"/>
    </row>
    <row r="227" spans="1:16" s="768" customFormat="1" ht="18" customHeight="1" x14ac:dyDescent="0.3">
      <c r="A227" s="716">
        <v>219</v>
      </c>
      <c r="B227" s="762"/>
      <c r="C227" s="745"/>
      <c r="D227" s="241" t="s">
        <v>245</v>
      </c>
      <c r="E227" s="736"/>
      <c r="F227" s="736"/>
      <c r="G227" s="737"/>
      <c r="H227" s="738"/>
      <c r="I227" s="739">
        <f>SUM(J227:N227)</f>
        <v>3000</v>
      </c>
      <c r="J227" s="766"/>
      <c r="K227" s="766"/>
      <c r="L227" s="766"/>
      <c r="M227" s="766"/>
      <c r="N227" s="750">
        <v>3000</v>
      </c>
      <c r="P227" s="743"/>
    </row>
    <row r="228" spans="1:16" s="768" customFormat="1" ht="18" customHeight="1" x14ac:dyDescent="0.3">
      <c r="A228" s="716">
        <v>220</v>
      </c>
      <c r="B228" s="762"/>
      <c r="C228" s="745"/>
      <c r="D228" s="377" t="s">
        <v>810</v>
      </c>
      <c r="E228" s="736"/>
      <c r="F228" s="736"/>
      <c r="G228" s="737"/>
      <c r="H228" s="738"/>
      <c r="I228" s="1446">
        <f>SUM(J228:N228)</f>
        <v>3000</v>
      </c>
      <c r="J228" s="1105"/>
      <c r="K228" s="1105"/>
      <c r="L228" s="1105"/>
      <c r="M228" s="1105"/>
      <c r="N228" s="1104">
        <v>3000</v>
      </c>
      <c r="P228" s="743"/>
    </row>
    <row r="229" spans="1:16" s="768" customFormat="1" ht="18" customHeight="1" x14ac:dyDescent="0.3">
      <c r="A229" s="716">
        <v>221</v>
      </c>
      <c r="B229" s="762"/>
      <c r="C229" s="745"/>
      <c r="D229" s="910" t="s">
        <v>997</v>
      </c>
      <c r="E229" s="736"/>
      <c r="F229" s="736"/>
      <c r="G229" s="737"/>
      <c r="H229" s="738"/>
      <c r="I229" s="299">
        <f>SUM(J229:Q229)</f>
        <v>-3000</v>
      </c>
      <c r="J229" s="766"/>
      <c r="K229" s="766"/>
      <c r="L229" s="766"/>
      <c r="M229" s="766"/>
      <c r="N229" s="1115">
        <v>-3000</v>
      </c>
      <c r="P229" s="743"/>
    </row>
    <row r="230" spans="1:16" s="768" customFormat="1" ht="18" customHeight="1" x14ac:dyDescent="0.3">
      <c r="A230" s="716">
        <v>222</v>
      </c>
      <c r="B230" s="762"/>
      <c r="C230" s="745"/>
      <c r="D230" s="377" t="s">
        <v>858</v>
      </c>
      <c r="E230" s="736"/>
      <c r="F230" s="736"/>
      <c r="G230" s="737"/>
      <c r="H230" s="738"/>
      <c r="I230" s="443">
        <f>SUM(J230:Q230)</f>
        <v>0</v>
      </c>
      <c r="J230" s="766"/>
      <c r="K230" s="766"/>
      <c r="L230" s="766"/>
      <c r="M230" s="766"/>
      <c r="N230" s="1104">
        <f>SUM(N228:N229)</f>
        <v>0</v>
      </c>
      <c r="P230" s="743"/>
    </row>
    <row r="231" spans="1:16" s="768" customFormat="1" ht="22.5" customHeight="1" x14ac:dyDescent="0.3">
      <c r="A231" s="716">
        <v>223</v>
      </c>
      <c r="B231" s="762"/>
      <c r="C231" s="745">
        <v>27</v>
      </c>
      <c r="D231" s="746" t="s">
        <v>430</v>
      </c>
      <c r="E231" s="736"/>
      <c r="F231" s="736">
        <v>3000</v>
      </c>
      <c r="G231" s="737">
        <v>3000</v>
      </c>
      <c r="H231" s="738" t="s">
        <v>24</v>
      </c>
      <c r="I231" s="739"/>
      <c r="J231" s="766"/>
      <c r="K231" s="766"/>
      <c r="L231" s="766"/>
      <c r="M231" s="766"/>
      <c r="N231" s="767"/>
      <c r="P231" s="743"/>
    </row>
    <row r="232" spans="1:16" s="768" customFormat="1" ht="18" customHeight="1" x14ac:dyDescent="0.3">
      <c r="A232" s="716">
        <v>224</v>
      </c>
      <c r="B232" s="762"/>
      <c r="C232" s="745"/>
      <c r="D232" s="241" t="s">
        <v>245</v>
      </c>
      <c r="E232" s="736"/>
      <c r="F232" s="736"/>
      <c r="G232" s="737"/>
      <c r="H232" s="738"/>
      <c r="I232" s="739">
        <f>SUM(J232:N232)</f>
        <v>3000</v>
      </c>
      <c r="J232" s="766"/>
      <c r="K232" s="766"/>
      <c r="L232" s="766"/>
      <c r="M232" s="766"/>
      <c r="N232" s="750">
        <v>3000</v>
      </c>
      <c r="P232" s="743"/>
    </row>
    <row r="233" spans="1:16" s="768" customFormat="1" ht="18" customHeight="1" x14ac:dyDescent="0.3">
      <c r="A233" s="716">
        <v>225</v>
      </c>
      <c r="B233" s="762"/>
      <c r="C233" s="745"/>
      <c r="D233" s="377" t="s">
        <v>810</v>
      </c>
      <c r="E233" s="736"/>
      <c r="F233" s="736"/>
      <c r="G233" s="737"/>
      <c r="H233" s="738"/>
      <c r="I233" s="1446">
        <f>SUM(J233:N233)</f>
        <v>3000</v>
      </c>
      <c r="J233" s="1105"/>
      <c r="K233" s="1105"/>
      <c r="L233" s="1105"/>
      <c r="M233" s="1105"/>
      <c r="N233" s="1104">
        <v>3000</v>
      </c>
      <c r="P233" s="743"/>
    </row>
    <row r="234" spans="1:16" s="768" customFormat="1" ht="18" customHeight="1" x14ac:dyDescent="0.3">
      <c r="A234" s="716">
        <v>226</v>
      </c>
      <c r="B234" s="762"/>
      <c r="C234" s="745"/>
      <c r="D234" s="910" t="s">
        <v>652</v>
      </c>
      <c r="E234" s="736"/>
      <c r="F234" s="736"/>
      <c r="G234" s="737"/>
      <c r="H234" s="738"/>
      <c r="I234" s="299">
        <f>SUM(J234:Q234)</f>
        <v>0</v>
      </c>
      <c r="J234" s="1103"/>
      <c r="K234" s="1103"/>
      <c r="L234" s="1103"/>
      <c r="M234" s="1103"/>
      <c r="N234" s="1104"/>
      <c r="P234" s="743"/>
    </row>
    <row r="235" spans="1:16" s="768" customFormat="1" ht="18" customHeight="1" x14ac:dyDescent="0.3">
      <c r="A235" s="716">
        <v>227</v>
      </c>
      <c r="B235" s="762"/>
      <c r="C235" s="745"/>
      <c r="D235" s="377" t="s">
        <v>858</v>
      </c>
      <c r="E235" s="736"/>
      <c r="F235" s="736"/>
      <c r="G235" s="737"/>
      <c r="H235" s="738"/>
      <c r="I235" s="443">
        <f>SUM(J235:Q235)</f>
        <v>3000</v>
      </c>
      <c r="J235" s="1105"/>
      <c r="K235" s="1105"/>
      <c r="L235" s="1105"/>
      <c r="M235" s="1105"/>
      <c r="N235" s="1104">
        <f>SUM(N233:N234)</f>
        <v>3000</v>
      </c>
      <c r="P235" s="743"/>
    </row>
    <row r="236" spans="1:16" s="733" customFormat="1" ht="22.5" customHeight="1" x14ac:dyDescent="0.3">
      <c r="A236" s="716">
        <v>228</v>
      </c>
      <c r="B236" s="744"/>
      <c r="C236" s="745">
        <v>28</v>
      </c>
      <c r="D236" s="746" t="s">
        <v>224</v>
      </c>
      <c r="E236" s="736"/>
      <c r="F236" s="736">
        <v>9600</v>
      </c>
      <c r="G236" s="737">
        <v>3805</v>
      </c>
      <c r="H236" s="738" t="s">
        <v>24</v>
      </c>
      <c r="I236" s="739"/>
      <c r="J236" s="740"/>
      <c r="K236" s="740"/>
      <c r="L236" s="740"/>
      <c r="M236" s="740"/>
      <c r="N236" s="742"/>
      <c r="P236" s="743"/>
    </row>
    <row r="237" spans="1:16" s="733" customFormat="1" ht="18" customHeight="1" x14ac:dyDescent="0.3">
      <c r="A237" s="716">
        <v>229</v>
      </c>
      <c r="B237" s="744"/>
      <c r="C237" s="745"/>
      <c r="D237" s="241" t="s">
        <v>245</v>
      </c>
      <c r="E237" s="736"/>
      <c r="F237" s="736"/>
      <c r="G237" s="737"/>
      <c r="H237" s="738"/>
      <c r="I237" s="739">
        <f>SUM(J237:N237)</f>
        <v>5000</v>
      </c>
      <c r="J237" s="740"/>
      <c r="K237" s="740"/>
      <c r="L237" s="741">
        <v>5000</v>
      </c>
      <c r="M237" s="740"/>
      <c r="N237" s="742"/>
      <c r="P237" s="743"/>
    </row>
    <row r="238" spans="1:16" s="733" customFormat="1" ht="18" customHeight="1" x14ac:dyDescent="0.3">
      <c r="A238" s="716">
        <v>230</v>
      </c>
      <c r="B238" s="744"/>
      <c r="C238" s="745"/>
      <c r="D238" s="377" t="s">
        <v>810</v>
      </c>
      <c r="E238" s="736"/>
      <c r="F238" s="736"/>
      <c r="G238" s="737"/>
      <c r="H238" s="738"/>
      <c r="I238" s="1446">
        <f>SUM(J238:N238)</f>
        <v>9600</v>
      </c>
      <c r="J238" s="1103"/>
      <c r="K238" s="1103"/>
      <c r="L238" s="1099">
        <v>9600</v>
      </c>
      <c r="M238" s="740"/>
      <c r="N238" s="742"/>
      <c r="P238" s="743"/>
    </row>
    <row r="239" spans="1:16" s="733" customFormat="1" ht="18" customHeight="1" x14ac:dyDescent="0.3">
      <c r="A239" s="716">
        <v>231</v>
      </c>
      <c r="B239" s="744"/>
      <c r="C239" s="745"/>
      <c r="D239" s="910" t="s">
        <v>652</v>
      </c>
      <c r="E239" s="736"/>
      <c r="F239" s="736"/>
      <c r="G239" s="737"/>
      <c r="H239" s="738"/>
      <c r="I239" s="299">
        <f>SUM(J239:Q239)</f>
        <v>0</v>
      </c>
      <c r="J239" s="1105"/>
      <c r="K239" s="1105"/>
      <c r="L239" s="1105"/>
      <c r="M239" s="1105"/>
      <c r="N239" s="1115"/>
      <c r="P239" s="743"/>
    </row>
    <row r="240" spans="1:16" s="733" customFormat="1" ht="18" customHeight="1" x14ac:dyDescent="0.3">
      <c r="A240" s="716">
        <v>232</v>
      </c>
      <c r="B240" s="744"/>
      <c r="C240" s="745"/>
      <c r="D240" s="377" t="s">
        <v>858</v>
      </c>
      <c r="E240" s="736"/>
      <c r="F240" s="736"/>
      <c r="G240" s="737"/>
      <c r="H240" s="738"/>
      <c r="I240" s="443">
        <f>SUM(J240:Q240)</f>
        <v>9600</v>
      </c>
      <c r="J240" s="1103"/>
      <c r="K240" s="1103"/>
      <c r="L240" s="1099">
        <f>SUM(L238:L239)</f>
        <v>9600</v>
      </c>
      <c r="M240" s="740"/>
      <c r="N240" s="742"/>
      <c r="P240" s="743"/>
    </row>
    <row r="241" spans="1:16" s="743" customFormat="1" ht="22.5" customHeight="1" x14ac:dyDescent="0.3">
      <c r="A241" s="716">
        <v>233</v>
      </c>
      <c r="B241" s="734"/>
      <c r="C241" s="745">
        <v>29</v>
      </c>
      <c r="D241" s="727" t="s">
        <v>455</v>
      </c>
      <c r="E241" s="736"/>
      <c r="F241" s="736"/>
      <c r="G241" s="737"/>
      <c r="H241" s="738" t="s">
        <v>24</v>
      </c>
      <c r="I241" s="739"/>
      <c r="J241" s="740"/>
      <c r="K241" s="740"/>
      <c r="L241" s="740"/>
      <c r="M241" s="740"/>
      <c r="N241" s="742"/>
    </row>
    <row r="242" spans="1:16" s="743" customFormat="1" ht="18" customHeight="1" x14ac:dyDescent="0.3">
      <c r="A242" s="716">
        <v>234</v>
      </c>
      <c r="B242" s="781"/>
      <c r="C242" s="745"/>
      <c r="D242" s="241" t="s">
        <v>245</v>
      </c>
      <c r="E242" s="728"/>
      <c r="F242" s="728"/>
      <c r="G242" s="1364"/>
      <c r="H242" s="738"/>
      <c r="I242" s="739">
        <f>SUM(J242:N242)</f>
        <v>55000</v>
      </c>
      <c r="J242" s="748"/>
      <c r="K242" s="748"/>
      <c r="L242" s="748"/>
      <c r="M242" s="748"/>
      <c r="N242" s="782">
        <v>55000</v>
      </c>
    </row>
    <row r="243" spans="1:16" s="743" customFormat="1" ht="18" customHeight="1" x14ac:dyDescent="0.3">
      <c r="A243" s="716">
        <v>235</v>
      </c>
      <c r="B243" s="781"/>
      <c r="C243" s="745"/>
      <c r="D243" s="377" t="s">
        <v>810</v>
      </c>
      <c r="E243" s="728"/>
      <c r="F243" s="728"/>
      <c r="G243" s="1364"/>
      <c r="H243" s="738"/>
      <c r="I243" s="1446">
        <f>SUM(J243:N243)</f>
        <v>0</v>
      </c>
      <c r="J243" s="731"/>
      <c r="K243" s="731"/>
      <c r="L243" s="731"/>
      <c r="M243" s="731"/>
      <c r="N243" s="1117">
        <v>0</v>
      </c>
    </row>
    <row r="244" spans="1:16" s="743" customFormat="1" ht="18" customHeight="1" x14ac:dyDescent="0.3">
      <c r="A244" s="716">
        <v>236</v>
      </c>
      <c r="B244" s="781"/>
      <c r="C244" s="745"/>
      <c r="D244" s="910" t="s">
        <v>652</v>
      </c>
      <c r="E244" s="728"/>
      <c r="F244" s="728"/>
      <c r="G244" s="1364"/>
      <c r="H244" s="738"/>
      <c r="I244" s="299">
        <f>SUM(J244:Q244)</f>
        <v>0</v>
      </c>
      <c r="J244" s="1101"/>
      <c r="K244" s="1101"/>
      <c r="L244" s="1101"/>
      <c r="M244" s="1101"/>
      <c r="N244" s="1119"/>
    </row>
    <row r="245" spans="1:16" s="743" customFormat="1" ht="18" customHeight="1" x14ac:dyDescent="0.3">
      <c r="A245" s="716">
        <v>237</v>
      </c>
      <c r="B245" s="781"/>
      <c r="C245" s="745"/>
      <c r="D245" s="377" t="s">
        <v>858</v>
      </c>
      <c r="E245" s="728"/>
      <c r="F245" s="728"/>
      <c r="G245" s="1364"/>
      <c r="H245" s="738"/>
      <c r="I245" s="443">
        <f>SUM(J245:Q245)</f>
        <v>0</v>
      </c>
      <c r="J245" s="731"/>
      <c r="K245" s="731"/>
      <c r="L245" s="731"/>
      <c r="M245" s="731"/>
      <c r="N245" s="1117">
        <f>SUM(N243:N244)</f>
        <v>0</v>
      </c>
    </row>
    <row r="246" spans="1:16" s="743" customFormat="1" ht="23.45" customHeight="1" x14ac:dyDescent="0.3">
      <c r="A246" s="716">
        <v>238</v>
      </c>
      <c r="B246" s="781"/>
      <c r="C246" s="745">
        <v>30</v>
      </c>
      <c r="D246" s="746" t="s">
        <v>431</v>
      </c>
      <c r="E246" s="728"/>
      <c r="F246" s="728">
        <v>50000</v>
      </c>
      <c r="G246" s="1364"/>
      <c r="H246" s="738" t="s">
        <v>24</v>
      </c>
      <c r="I246" s="739"/>
      <c r="J246" s="748"/>
      <c r="K246" s="748"/>
      <c r="L246" s="748"/>
      <c r="M246" s="748"/>
      <c r="N246" s="749"/>
    </row>
    <row r="247" spans="1:16" s="785" customFormat="1" ht="22.5" customHeight="1" x14ac:dyDescent="0.3">
      <c r="A247" s="716">
        <v>239</v>
      </c>
      <c r="B247" s="783"/>
      <c r="C247" s="745">
        <v>31</v>
      </c>
      <c r="D247" s="746" t="s">
        <v>222</v>
      </c>
      <c r="E247" s="728">
        <v>55000</v>
      </c>
      <c r="F247" s="728">
        <v>45000</v>
      </c>
      <c r="G247" s="1364">
        <v>85000</v>
      </c>
      <c r="H247" s="738" t="s">
        <v>24</v>
      </c>
      <c r="I247" s="739"/>
      <c r="J247" s="748"/>
      <c r="K247" s="748"/>
      <c r="L247" s="748"/>
      <c r="M247" s="748"/>
      <c r="N247" s="749"/>
      <c r="O247" s="784"/>
      <c r="P247" s="743"/>
    </row>
    <row r="248" spans="1:16" s="785" customFormat="1" ht="18" customHeight="1" x14ac:dyDescent="0.3">
      <c r="A248" s="716">
        <v>240</v>
      </c>
      <c r="B248" s="783"/>
      <c r="C248" s="735"/>
      <c r="D248" s="241" t="s">
        <v>245</v>
      </c>
      <c r="E248" s="728"/>
      <c r="F248" s="728"/>
      <c r="G248" s="1364"/>
      <c r="H248" s="738"/>
      <c r="I248" s="739">
        <f>SUM(J248:N248)</f>
        <v>45000</v>
      </c>
      <c r="J248" s="748"/>
      <c r="K248" s="748"/>
      <c r="L248" s="748"/>
      <c r="M248" s="748"/>
      <c r="N248" s="782">
        <v>45000</v>
      </c>
      <c r="O248" s="784"/>
      <c r="P248" s="743"/>
    </row>
    <row r="249" spans="1:16" s="785" customFormat="1" ht="18" customHeight="1" x14ac:dyDescent="0.3">
      <c r="A249" s="716">
        <v>241</v>
      </c>
      <c r="B249" s="783"/>
      <c r="C249" s="735"/>
      <c r="D249" s="377" t="s">
        <v>810</v>
      </c>
      <c r="E249" s="728"/>
      <c r="F249" s="728"/>
      <c r="G249" s="1364"/>
      <c r="H249" s="738"/>
      <c r="I249" s="1446">
        <f>SUM(J249:N249)</f>
        <v>45000</v>
      </c>
      <c r="J249" s="731"/>
      <c r="K249" s="731"/>
      <c r="L249" s="731"/>
      <c r="M249" s="731"/>
      <c r="N249" s="1117">
        <v>45000</v>
      </c>
      <c r="O249" s="784"/>
      <c r="P249" s="743"/>
    </row>
    <row r="250" spans="1:16" s="785" customFormat="1" ht="18" customHeight="1" x14ac:dyDescent="0.3">
      <c r="A250" s="716">
        <v>242</v>
      </c>
      <c r="B250" s="783"/>
      <c r="C250" s="735"/>
      <c r="D250" s="910" t="s">
        <v>652</v>
      </c>
      <c r="E250" s="728"/>
      <c r="F250" s="728"/>
      <c r="G250" s="1364"/>
      <c r="H250" s="738"/>
      <c r="I250" s="299">
        <f>SUM(J250:Q250)</f>
        <v>0</v>
      </c>
      <c r="J250" s="1101"/>
      <c r="K250" s="1101"/>
      <c r="L250" s="1101"/>
      <c r="M250" s="1101"/>
      <c r="N250" s="1118"/>
      <c r="O250" s="784"/>
      <c r="P250" s="743"/>
    </row>
    <row r="251" spans="1:16" s="785" customFormat="1" ht="18" customHeight="1" x14ac:dyDescent="0.3">
      <c r="A251" s="716">
        <v>243</v>
      </c>
      <c r="B251" s="783"/>
      <c r="C251" s="735"/>
      <c r="D251" s="377" t="s">
        <v>858</v>
      </c>
      <c r="E251" s="728"/>
      <c r="F251" s="728"/>
      <c r="G251" s="1364"/>
      <c r="H251" s="738"/>
      <c r="I251" s="443">
        <f>SUM(J251:Q251)</f>
        <v>45000</v>
      </c>
      <c r="J251" s="748"/>
      <c r="K251" s="748"/>
      <c r="L251" s="748"/>
      <c r="M251" s="748"/>
      <c r="N251" s="1117">
        <f>SUM(N249:N250)</f>
        <v>45000</v>
      </c>
      <c r="O251" s="784"/>
      <c r="P251" s="743"/>
    </row>
    <row r="252" spans="1:16" s="733" customFormat="1" ht="22.5" customHeight="1" x14ac:dyDescent="0.3">
      <c r="A252" s="716">
        <v>244</v>
      </c>
      <c r="B252" s="744"/>
      <c r="C252" s="745">
        <v>32</v>
      </c>
      <c r="D252" s="746" t="s">
        <v>225</v>
      </c>
      <c r="E252" s="736"/>
      <c r="F252" s="736"/>
      <c r="G252" s="737"/>
      <c r="H252" s="738" t="s">
        <v>24</v>
      </c>
      <c r="I252" s="739"/>
      <c r="J252" s="740"/>
      <c r="K252" s="740"/>
      <c r="L252" s="740"/>
      <c r="M252" s="740"/>
      <c r="N252" s="742"/>
      <c r="P252" s="743"/>
    </row>
    <row r="253" spans="1:16" s="733" customFormat="1" ht="18" customHeight="1" x14ac:dyDescent="0.3">
      <c r="A253" s="716">
        <v>245</v>
      </c>
      <c r="B253" s="744"/>
      <c r="C253" s="745"/>
      <c r="D253" s="241" t="s">
        <v>245</v>
      </c>
      <c r="E253" s="736"/>
      <c r="F253" s="736"/>
      <c r="G253" s="737">
        <v>5000</v>
      </c>
      <c r="H253" s="738"/>
      <c r="I253" s="739">
        <f>SUM(J253:N253)</f>
        <v>5000</v>
      </c>
      <c r="J253" s="740"/>
      <c r="K253" s="740"/>
      <c r="L253" s="740"/>
      <c r="M253" s="740"/>
      <c r="N253" s="750">
        <v>5000</v>
      </c>
      <c r="P253" s="743"/>
    </row>
    <row r="254" spans="1:16" s="733" customFormat="1" ht="18" customHeight="1" x14ac:dyDescent="0.3">
      <c r="A254" s="716">
        <v>246</v>
      </c>
      <c r="B254" s="744"/>
      <c r="C254" s="745"/>
      <c r="D254" s="377" t="s">
        <v>810</v>
      </c>
      <c r="E254" s="736"/>
      <c r="F254" s="736"/>
      <c r="G254" s="737"/>
      <c r="H254" s="738"/>
      <c r="I254" s="1446">
        <f>SUM(J254:N254)</f>
        <v>5000</v>
      </c>
      <c r="J254" s="1103"/>
      <c r="K254" s="1103"/>
      <c r="L254" s="1103"/>
      <c r="M254" s="1103"/>
      <c r="N254" s="1104">
        <v>5000</v>
      </c>
      <c r="P254" s="743"/>
    </row>
    <row r="255" spans="1:16" s="733" customFormat="1" ht="18" customHeight="1" x14ac:dyDescent="0.3">
      <c r="A255" s="716">
        <v>247</v>
      </c>
      <c r="B255" s="744"/>
      <c r="C255" s="745"/>
      <c r="D255" s="910" t="s">
        <v>652</v>
      </c>
      <c r="E255" s="736"/>
      <c r="F255" s="736"/>
      <c r="G255" s="737"/>
      <c r="H255" s="738"/>
      <c r="I255" s="299">
        <f>SUM(J255:Q255)</f>
        <v>0</v>
      </c>
      <c r="J255" s="1105"/>
      <c r="K255" s="1105"/>
      <c r="L255" s="1105"/>
      <c r="M255" s="1105"/>
      <c r="N255" s="1107"/>
      <c r="P255" s="743"/>
    </row>
    <row r="256" spans="1:16" s="733" customFormat="1" ht="18" customHeight="1" x14ac:dyDescent="0.3">
      <c r="A256" s="716">
        <v>248</v>
      </c>
      <c r="B256" s="744"/>
      <c r="C256" s="745"/>
      <c r="D256" s="377" t="s">
        <v>858</v>
      </c>
      <c r="E256" s="736"/>
      <c r="F256" s="736"/>
      <c r="G256" s="737"/>
      <c r="H256" s="738"/>
      <c r="I256" s="443">
        <f>SUM(J256:Q256)</f>
        <v>5000</v>
      </c>
      <c r="J256" s="740"/>
      <c r="K256" s="740"/>
      <c r="L256" s="740"/>
      <c r="M256" s="740"/>
      <c r="N256" s="1104">
        <f>SUM(N254:N255)</f>
        <v>5000</v>
      </c>
      <c r="P256" s="743"/>
    </row>
    <row r="257" spans="1:16" s="761" customFormat="1" ht="22.5" customHeight="1" x14ac:dyDescent="0.3">
      <c r="A257" s="716">
        <v>249</v>
      </c>
      <c r="B257" s="757"/>
      <c r="C257" s="745">
        <v>34</v>
      </c>
      <c r="D257" s="746" t="s">
        <v>343</v>
      </c>
      <c r="E257" s="736">
        <v>700</v>
      </c>
      <c r="F257" s="736"/>
      <c r="G257" s="736"/>
      <c r="H257" s="738" t="s">
        <v>24</v>
      </c>
      <c r="I257" s="739"/>
      <c r="J257" s="741"/>
      <c r="K257" s="741"/>
      <c r="L257" s="741"/>
      <c r="M257" s="741"/>
      <c r="N257" s="750"/>
    </row>
    <row r="258" spans="1:16" s="733" customFormat="1" ht="22.5" customHeight="1" x14ac:dyDescent="0.3">
      <c r="A258" s="716">
        <v>250</v>
      </c>
      <c r="B258" s="744"/>
      <c r="C258" s="745">
        <v>35</v>
      </c>
      <c r="D258" s="746" t="s">
        <v>361</v>
      </c>
      <c r="E258" s="736">
        <v>349950</v>
      </c>
      <c r="F258" s="736">
        <v>395787</v>
      </c>
      <c r="G258" s="737">
        <v>447400</v>
      </c>
      <c r="H258" s="738" t="s">
        <v>23</v>
      </c>
      <c r="I258" s="739"/>
      <c r="J258" s="740"/>
      <c r="K258" s="740"/>
      <c r="L258" s="740"/>
      <c r="M258" s="740"/>
      <c r="N258" s="742"/>
      <c r="P258" s="743"/>
    </row>
    <row r="259" spans="1:16" s="761" customFormat="1" ht="18" customHeight="1" x14ac:dyDescent="0.3">
      <c r="A259" s="716">
        <v>251</v>
      </c>
      <c r="B259" s="757"/>
      <c r="C259" s="758"/>
      <c r="D259" s="241" t="s">
        <v>245</v>
      </c>
      <c r="E259" s="759"/>
      <c r="F259" s="759"/>
      <c r="G259" s="1366"/>
      <c r="H259" s="760"/>
      <c r="I259" s="739">
        <f>SUM(J259:N259)</f>
        <v>341637</v>
      </c>
      <c r="J259" s="741"/>
      <c r="K259" s="741"/>
      <c r="L259" s="741"/>
      <c r="M259" s="741"/>
      <c r="N259" s="750">
        <f>350250+387-9000</f>
        <v>341637</v>
      </c>
    </row>
    <row r="260" spans="1:16" s="761" customFormat="1" ht="18" customHeight="1" x14ac:dyDescent="0.3">
      <c r="A260" s="716">
        <v>252</v>
      </c>
      <c r="B260" s="757"/>
      <c r="C260" s="758"/>
      <c r="D260" s="377" t="s">
        <v>810</v>
      </c>
      <c r="E260" s="759"/>
      <c r="F260" s="759"/>
      <c r="G260" s="1366"/>
      <c r="H260" s="760"/>
      <c r="I260" s="1446">
        <f>SUM(J260:N260)</f>
        <v>351637</v>
      </c>
      <c r="J260" s="1099"/>
      <c r="K260" s="1099"/>
      <c r="L260" s="1099"/>
      <c r="M260" s="1099"/>
      <c r="N260" s="1104">
        <v>351637</v>
      </c>
    </row>
    <row r="261" spans="1:16" s="761" customFormat="1" ht="18" customHeight="1" x14ac:dyDescent="0.3">
      <c r="A261" s="716">
        <v>253</v>
      </c>
      <c r="B261" s="757"/>
      <c r="C261" s="758"/>
      <c r="D261" s="910" t="s">
        <v>652</v>
      </c>
      <c r="E261" s="759"/>
      <c r="F261" s="759"/>
      <c r="G261" s="1366"/>
      <c r="H261" s="760"/>
      <c r="I261" s="299">
        <f>SUM(J261:Q261)</f>
        <v>0</v>
      </c>
      <c r="J261" s="1105"/>
      <c r="K261" s="1105"/>
      <c r="L261" s="1105"/>
      <c r="M261" s="1105"/>
      <c r="N261" s="1115"/>
    </row>
    <row r="262" spans="1:16" s="761" customFormat="1" ht="18" customHeight="1" x14ac:dyDescent="0.3">
      <c r="A262" s="716">
        <v>254</v>
      </c>
      <c r="B262" s="757"/>
      <c r="C262" s="758"/>
      <c r="D262" s="377" t="s">
        <v>858</v>
      </c>
      <c r="E262" s="759"/>
      <c r="F262" s="759"/>
      <c r="G262" s="1366"/>
      <c r="H262" s="760"/>
      <c r="I262" s="443">
        <f>SUM(J262:Q262)</f>
        <v>351637</v>
      </c>
      <c r="J262" s="1099"/>
      <c r="K262" s="1099"/>
      <c r="L262" s="1099"/>
      <c r="M262" s="1099"/>
      <c r="N262" s="1104">
        <f>SUM(N260:N261)</f>
        <v>351637</v>
      </c>
    </row>
    <row r="263" spans="1:16" s="733" customFormat="1" ht="22.5" customHeight="1" x14ac:dyDescent="0.3">
      <c r="A263" s="716">
        <v>255</v>
      </c>
      <c r="B263" s="744"/>
      <c r="C263" s="745">
        <v>36</v>
      </c>
      <c r="D263" s="746" t="s">
        <v>55</v>
      </c>
      <c r="E263" s="736">
        <v>1250</v>
      </c>
      <c r="F263" s="736">
        <v>2500</v>
      </c>
      <c r="G263" s="737">
        <v>1250</v>
      </c>
      <c r="H263" s="738" t="s">
        <v>23</v>
      </c>
      <c r="I263" s="739"/>
      <c r="J263" s="740"/>
      <c r="K263" s="740"/>
      <c r="L263" s="740"/>
      <c r="M263" s="740"/>
      <c r="N263" s="742"/>
      <c r="P263" s="743"/>
    </row>
    <row r="264" spans="1:16" s="761" customFormat="1" ht="18" customHeight="1" x14ac:dyDescent="0.3">
      <c r="A264" s="716">
        <v>256</v>
      </c>
      <c r="B264" s="757"/>
      <c r="C264" s="758"/>
      <c r="D264" s="241" t="s">
        <v>245</v>
      </c>
      <c r="E264" s="759"/>
      <c r="F264" s="759"/>
      <c r="G264" s="1366"/>
      <c r="H264" s="760"/>
      <c r="I264" s="739">
        <f>SUM(J264:N264)</f>
        <v>1250</v>
      </c>
      <c r="J264" s="741"/>
      <c r="K264" s="741"/>
      <c r="L264" s="741">
        <v>1250</v>
      </c>
      <c r="M264" s="741"/>
      <c r="N264" s="750"/>
    </row>
    <row r="265" spans="1:16" s="761" customFormat="1" ht="18" customHeight="1" x14ac:dyDescent="0.3">
      <c r="A265" s="716">
        <v>257</v>
      </c>
      <c r="B265" s="757"/>
      <c r="C265" s="758"/>
      <c r="D265" s="377" t="s">
        <v>810</v>
      </c>
      <c r="E265" s="759"/>
      <c r="F265" s="759"/>
      <c r="G265" s="1366"/>
      <c r="H265" s="760"/>
      <c r="I265" s="1446">
        <f>SUM(J265:N265)</f>
        <v>1250</v>
      </c>
      <c r="J265" s="1099"/>
      <c r="K265" s="1099"/>
      <c r="L265" s="1099">
        <v>1250</v>
      </c>
      <c r="M265" s="741"/>
      <c r="N265" s="750"/>
    </row>
    <row r="266" spans="1:16" s="761" customFormat="1" ht="18" customHeight="1" x14ac:dyDescent="0.3">
      <c r="A266" s="716">
        <v>258</v>
      </c>
      <c r="B266" s="757"/>
      <c r="C266" s="758"/>
      <c r="D266" s="910" t="s">
        <v>652</v>
      </c>
      <c r="E266" s="759"/>
      <c r="F266" s="759"/>
      <c r="G266" s="1366"/>
      <c r="H266" s="760"/>
      <c r="I266" s="299">
        <f>SUM(J266:Q266)</f>
        <v>0</v>
      </c>
      <c r="J266" s="1105"/>
      <c r="K266" s="1105"/>
      <c r="L266" s="1105"/>
      <c r="M266" s="1105"/>
      <c r="N266" s="1115"/>
    </row>
    <row r="267" spans="1:16" s="761" customFormat="1" ht="18" customHeight="1" x14ac:dyDescent="0.3">
      <c r="A267" s="716">
        <v>259</v>
      </c>
      <c r="B267" s="757"/>
      <c r="C267" s="758"/>
      <c r="D267" s="377" t="s">
        <v>858</v>
      </c>
      <c r="E267" s="759"/>
      <c r="F267" s="759"/>
      <c r="G267" s="1366"/>
      <c r="H267" s="760"/>
      <c r="I267" s="443">
        <f>SUM(J267:Q267)</f>
        <v>1250</v>
      </c>
      <c r="J267" s="741"/>
      <c r="K267" s="741"/>
      <c r="L267" s="1099">
        <f>SUM(L265:L266)</f>
        <v>1250</v>
      </c>
      <c r="M267" s="741"/>
      <c r="N267" s="750"/>
    </row>
    <row r="268" spans="1:16" s="743" customFormat="1" ht="22.5" customHeight="1" x14ac:dyDescent="0.3">
      <c r="A268" s="716">
        <v>260</v>
      </c>
      <c r="B268" s="734"/>
      <c r="C268" s="745">
        <v>38</v>
      </c>
      <c r="D268" s="727" t="s">
        <v>261</v>
      </c>
      <c r="E268" s="736">
        <v>88532</v>
      </c>
      <c r="F268" s="736">
        <v>139464</v>
      </c>
      <c r="G268" s="737">
        <v>86983</v>
      </c>
      <c r="H268" s="738" t="s">
        <v>23</v>
      </c>
      <c r="I268" s="739"/>
      <c r="J268" s="740"/>
      <c r="K268" s="740"/>
      <c r="L268" s="740"/>
      <c r="M268" s="740"/>
      <c r="N268" s="742"/>
    </row>
    <row r="269" spans="1:16" s="761" customFormat="1" ht="18" customHeight="1" x14ac:dyDescent="0.3">
      <c r="A269" s="716">
        <v>261</v>
      </c>
      <c r="B269" s="757"/>
      <c r="C269" s="758"/>
      <c r="D269" s="241" t="s">
        <v>245</v>
      </c>
      <c r="E269" s="759"/>
      <c r="F269" s="759"/>
      <c r="G269" s="1366"/>
      <c r="H269" s="760"/>
      <c r="I269" s="739">
        <f>SUM(J269:N269)</f>
        <v>150000</v>
      </c>
      <c r="J269" s="741"/>
      <c r="K269" s="741"/>
      <c r="L269" s="741">
        <f>150000</f>
        <v>150000</v>
      </c>
      <c r="M269" s="741"/>
      <c r="N269" s="750"/>
    </row>
    <row r="270" spans="1:16" s="761" customFormat="1" ht="18" customHeight="1" x14ac:dyDescent="0.3">
      <c r="A270" s="716">
        <v>262</v>
      </c>
      <c r="B270" s="757"/>
      <c r="C270" s="758"/>
      <c r="D270" s="377" t="s">
        <v>810</v>
      </c>
      <c r="E270" s="759"/>
      <c r="F270" s="759"/>
      <c r="G270" s="1366"/>
      <c r="H270" s="760"/>
      <c r="I270" s="1446">
        <f>SUM(J270:N270)</f>
        <v>150000</v>
      </c>
      <c r="J270" s="1099"/>
      <c r="K270" s="1099"/>
      <c r="L270" s="1099">
        <f>150000</f>
        <v>150000</v>
      </c>
      <c r="M270" s="741"/>
      <c r="N270" s="750"/>
    </row>
    <row r="271" spans="1:16" s="761" customFormat="1" ht="18" customHeight="1" x14ac:dyDescent="0.3">
      <c r="A271" s="716">
        <v>263</v>
      </c>
      <c r="B271" s="757"/>
      <c r="C271" s="758"/>
      <c r="D271" s="910" t="s">
        <v>652</v>
      </c>
      <c r="E271" s="759"/>
      <c r="F271" s="759"/>
      <c r="G271" s="1366"/>
      <c r="H271" s="760"/>
      <c r="I271" s="299">
        <f>SUM(J271:Q271)</f>
        <v>0</v>
      </c>
      <c r="J271" s="1105"/>
      <c r="K271" s="1105"/>
      <c r="L271" s="1105"/>
      <c r="M271" s="1105"/>
      <c r="N271" s="1115"/>
    </row>
    <row r="272" spans="1:16" s="761" customFormat="1" ht="18" customHeight="1" x14ac:dyDescent="0.3">
      <c r="A272" s="716">
        <v>264</v>
      </c>
      <c r="B272" s="757"/>
      <c r="C272" s="758"/>
      <c r="D272" s="377" t="s">
        <v>858</v>
      </c>
      <c r="E272" s="759"/>
      <c r="F272" s="759"/>
      <c r="G272" s="1366"/>
      <c r="H272" s="760"/>
      <c r="I272" s="443">
        <f>SUM(J272:Q272)</f>
        <v>150000</v>
      </c>
      <c r="J272" s="741"/>
      <c r="K272" s="741"/>
      <c r="L272" s="1099">
        <f>SUM(L270:L271)</f>
        <v>150000</v>
      </c>
      <c r="M272" s="741"/>
      <c r="N272" s="750"/>
    </row>
    <row r="273" spans="1:16" s="733" customFormat="1" ht="22.5" customHeight="1" x14ac:dyDescent="0.3">
      <c r="A273" s="716">
        <v>265</v>
      </c>
      <c r="B273" s="744"/>
      <c r="C273" s="745">
        <v>39</v>
      </c>
      <c r="D273" s="746" t="s">
        <v>362</v>
      </c>
      <c r="E273" s="736">
        <v>1124</v>
      </c>
      <c r="F273" s="736">
        <v>12459</v>
      </c>
      <c r="G273" s="737">
        <v>4637</v>
      </c>
      <c r="H273" s="738" t="s">
        <v>23</v>
      </c>
      <c r="I273" s="770"/>
      <c r="J273" s="771"/>
      <c r="K273" s="771"/>
      <c r="L273" s="771"/>
      <c r="M273" s="771"/>
      <c r="N273" s="772"/>
      <c r="O273" s="743"/>
      <c r="P273" s="743"/>
    </row>
    <row r="274" spans="1:16" s="761" customFormat="1" ht="18" customHeight="1" x14ac:dyDescent="0.3">
      <c r="A274" s="716">
        <v>266</v>
      </c>
      <c r="B274" s="757"/>
      <c r="C274" s="758"/>
      <c r="D274" s="241" t="s">
        <v>245</v>
      </c>
      <c r="E274" s="759"/>
      <c r="F274" s="759"/>
      <c r="G274" s="1366"/>
      <c r="H274" s="760"/>
      <c r="I274" s="739">
        <f>SUM(J274:N274)</f>
        <v>7002</v>
      </c>
      <c r="J274" s="741"/>
      <c r="K274" s="741"/>
      <c r="L274" s="741">
        <f>4500+2502</f>
        <v>7002</v>
      </c>
      <c r="M274" s="741"/>
      <c r="N274" s="750"/>
    </row>
    <row r="275" spans="1:16" s="761" customFormat="1" ht="18" customHeight="1" x14ac:dyDescent="0.3">
      <c r="A275" s="716">
        <v>267</v>
      </c>
      <c r="B275" s="757"/>
      <c r="C275" s="758"/>
      <c r="D275" s="377" t="s">
        <v>810</v>
      </c>
      <c r="E275" s="759"/>
      <c r="F275" s="759"/>
      <c r="G275" s="1366"/>
      <c r="H275" s="760"/>
      <c r="I275" s="1446">
        <f>SUM(J275:N275)</f>
        <v>7002</v>
      </c>
      <c r="J275" s="1099"/>
      <c r="K275" s="1099"/>
      <c r="L275" s="1099">
        <v>7002</v>
      </c>
      <c r="M275" s="741"/>
      <c r="N275" s="750"/>
    </row>
    <row r="276" spans="1:16" s="761" customFormat="1" ht="18" customHeight="1" x14ac:dyDescent="0.3">
      <c r="A276" s="716">
        <v>268</v>
      </c>
      <c r="B276" s="757"/>
      <c r="C276" s="758"/>
      <c r="D276" s="910" t="s">
        <v>652</v>
      </c>
      <c r="E276" s="759"/>
      <c r="F276" s="759"/>
      <c r="G276" s="1366"/>
      <c r="H276" s="760"/>
      <c r="I276" s="299">
        <f>SUM(J276:Q276)</f>
        <v>0</v>
      </c>
      <c r="J276" s="1105"/>
      <c r="K276" s="1105"/>
      <c r="L276" s="1105"/>
      <c r="M276" s="1105"/>
      <c r="N276" s="1115"/>
    </row>
    <row r="277" spans="1:16" s="761" customFormat="1" ht="18" customHeight="1" x14ac:dyDescent="0.3">
      <c r="A277" s="716">
        <v>269</v>
      </c>
      <c r="B277" s="757"/>
      <c r="C277" s="758"/>
      <c r="D277" s="377" t="s">
        <v>858</v>
      </c>
      <c r="E277" s="759"/>
      <c r="F277" s="759"/>
      <c r="G277" s="1366"/>
      <c r="H277" s="760"/>
      <c r="I277" s="443">
        <f>SUM(J277:Q277)</f>
        <v>7002</v>
      </c>
      <c r="J277" s="741"/>
      <c r="K277" s="741"/>
      <c r="L277" s="1099">
        <f>SUM(L275:L276)</f>
        <v>7002</v>
      </c>
      <c r="M277" s="741"/>
      <c r="N277" s="750"/>
    </row>
    <row r="278" spans="1:16" s="701" customFormat="1" ht="22.5" customHeight="1" x14ac:dyDescent="0.35">
      <c r="A278" s="716">
        <v>270</v>
      </c>
      <c r="B278" s="786"/>
      <c r="C278" s="745">
        <v>42</v>
      </c>
      <c r="D278" s="746" t="s">
        <v>11</v>
      </c>
      <c r="E278" s="736">
        <v>26700</v>
      </c>
      <c r="F278" s="736">
        <v>61350</v>
      </c>
      <c r="G278" s="737">
        <v>23961</v>
      </c>
      <c r="H278" s="738" t="s">
        <v>24</v>
      </c>
      <c r="I278" s="770"/>
      <c r="J278" s="771"/>
      <c r="K278" s="771"/>
      <c r="L278" s="771"/>
      <c r="M278" s="771"/>
      <c r="N278" s="772"/>
      <c r="O278" s="702"/>
      <c r="P278" s="702"/>
    </row>
    <row r="279" spans="1:16" s="761" customFormat="1" ht="18" customHeight="1" x14ac:dyDescent="0.3">
      <c r="A279" s="716">
        <v>271</v>
      </c>
      <c r="B279" s="757"/>
      <c r="C279" s="758"/>
      <c r="D279" s="241" t="s">
        <v>245</v>
      </c>
      <c r="E279" s="759"/>
      <c r="F279" s="759"/>
      <c r="G279" s="1366"/>
      <c r="H279" s="760"/>
      <c r="I279" s="739">
        <f>SUM(J279:N279)</f>
        <v>72437</v>
      </c>
      <c r="J279" s="741"/>
      <c r="K279" s="741"/>
      <c r="L279" s="741">
        <f>50000+22437</f>
        <v>72437</v>
      </c>
      <c r="M279" s="741"/>
      <c r="N279" s="750"/>
    </row>
    <row r="280" spans="1:16" s="761" customFormat="1" ht="18" customHeight="1" x14ac:dyDescent="0.3">
      <c r="A280" s="716">
        <v>272</v>
      </c>
      <c r="B280" s="757"/>
      <c r="C280" s="758"/>
      <c r="D280" s="377" t="s">
        <v>810</v>
      </c>
      <c r="E280" s="759"/>
      <c r="F280" s="759"/>
      <c r="G280" s="1366"/>
      <c r="H280" s="760"/>
      <c r="I280" s="1446">
        <f>SUM(J280:N280)</f>
        <v>72437</v>
      </c>
      <c r="J280" s="1099"/>
      <c r="K280" s="1099"/>
      <c r="L280" s="1099">
        <v>72437</v>
      </c>
      <c r="M280" s="741"/>
      <c r="N280" s="750"/>
    </row>
    <row r="281" spans="1:16" s="761" customFormat="1" ht="18" customHeight="1" x14ac:dyDescent="0.3">
      <c r="A281" s="716">
        <v>273</v>
      </c>
      <c r="B281" s="757"/>
      <c r="C281" s="758"/>
      <c r="D281" s="910" t="s">
        <v>652</v>
      </c>
      <c r="E281" s="759"/>
      <c r="F281" s="759"/>
      <c r="G281" s="1366"/>
      <c r="H281" s="760"/>
      <c r="I281" s="299">
        <f>SUM(J281:Q281)</f>
        <v>0</v>
      </c>
      <c r="J281" s="1105"/>
      <c r="K281" s="1105"/>
      <c r="L281" s="1105"/>
      <c r="M281" s="1105"/>
      <c r="N281" s="1115"/>
    </row>
    <row r="282" spans="1:16" s="761" customFormat="1" ht="18" customHeight="1" x14ac:dyDescent="0.3">
      <c r="A282" s="716">
        <v>274</v>
      </c>
      <c r="B282" s="757"/>
      <c r="C282" s="758"/>
      <c r="D282" s="377" t="s">
        <v>858</v>
      </c>
      <c r="E282" s="759"/>
      <c r="F282" s="759"/>
      <c r="G282" s="1366"/>
      <c r="H282" s="760"/>
      <c r="I282" s="443">
        <f>SUM(J282:Q282)</f>
        <v>72437</v>
      </c>
      <c r="J282" s="741"/>
      <c r="K282" s="741"/>
      <c r="L282" s="1099">
        <f>SUM(L280:L281)</f>
        <v>72437</v>
      </c>
      <c r="M282" s="741"/>
      <c r="N282" s="750"/>
    </row>
    <row r="283" spans="1:16" s="701" customFormat="1" ht="22.5" customHeight="1" x14ac:dyDescent="0.35">
      <c r="A283" s="716">
        <v>275</v>
      </c>
      <c r="B283" s="786"/>
      <c r="C283" s="745">
        <v>43</v>
      </c>
      <c r="D283" s="746" t="s">
        <v>56</v>
      </c>
      <c r="E283" s="736">
        <v>6952</v>
      </c>
      <c r="F283" s="736">
        <v>7023</v>
      </c>
      <c r="G283" s="737">
        <v>5212</v>
      </c>
      <c r="H283" s="738" t="s">
        <v>24</v>
      </c>
      <c r="I283" s="770"/>
      <c r="J283" s="771"/>
      <c r="K283" s="771"/>
      <c r="L283" s="771"/>
      <c r="M283" s="771"/>
      <c r="N283" s="772"/>
      <c r="O283" s="702"/>
      <c r="P283" s="702"/>
    </row>
    <row r="284" spans="1:16" s="761" customFormat="1" ht="18" customHeight="1" x14ac:dyDescent="0.3">
      <c r="A284" s="716">
        <v>276</v>
      </c>
      <c r="B284" s="757"/>
      <c r="C284" s="758"/>
      <c r="D284" s="241" t="s">
        <v>245</v>
      </c>
      <c r="E284" s="759"/>
      <c r="F284" s="759"/>
      <c r="G284" s="1366"/>
      <c r="H284" s="760"/>
      <c r="I284" s="739">
        <f>SUM(J284:N284)</f>
        <v>7311</v>
      </c>
      <c r="J284" s="741">
        <v>79</v>
      </c>
      <c r="K284" s="741">
        <v>33</v>
      </c>
      <c r="L284" s="741">
        <f>5000+1699</f>
        <v>6699</v>
      </c>
      <c r="M284" s="741"/>
      <c r="N284" s="750">
        <v>500</v>
      </c>
    </row>
    <row r="285" spans="1:16" s="761" customFormat="1" ht="18" customHeight="1" x14ac:dyDescent="0.3">
      <c r="A285" s="716">
        <v>277</v>
      </c>
      <c r="B285" s="757"/>
      <c r="C285" s="758"/>
      <c r="D285" s="377" t="s">
        <v>810</v>
      </c>
      <c r="E285" s="759"/>
      <c r="F285" s="759"/>
      <c r="G285" s="1366"/>
      <c r="H285" s="760"/>
      <c r="I285" s="1446">
        <f>SUM(J285:N285)</f>
        <v>15811</v>
      </c>
      <c r="J285" s="1099">
        <v>79</v>
      </c>
      <c r="K285" s="1099">
        <v>33</v>
      </c>
      <c r="L285" s="1099">
        <v>6699</v>
      </c>
      <c r="M285" s="1099"/>
      <c r="N285" s="1104">
        <v>9000</v>
      </c>
    </row>
    <row r="286" spans="1:16" s="761" customFormat="1" ht="18" customHeight="1" x14ac:dyDescent="0.3">
      <c r="A286" s="716">
        <v>278</v>
      </c>
      <c r="B286" s="757"/>
      <c r="C286" s="758"/>
      <c r="D286" s="910" t="s">
        <v>652</v>
      </c>
      <c r="E286" s="759"/>
      <c r="F286" s="759"/>
      <c r="G286" s="1366"/>
      <c r="H286" s="760"/>
      <c r="I286" s="299">
        <f>SUM(J286:Q286)</f>
        <v>0</v>
      </c>
      <c r="J286" s="1105"/>
      <c r="K286" s="1105"/>
      <c r="L286" s="1105"/>
      <c r="M286" s="1105"/>
      <c r="N286" s="1115"/>
    </row>
    <row r="287" spans="1:16" s="761" customFormat="1" ht="18" customHeight="1" x14ac:dyDescent="0.3">
      <c r="A287" s="716">
        <v>279</v>
      </c>
      <c r="B287" s="757"/>
      <c r="C287" s="758"/>
      <c r="D287" s="377" t="s">
        <v>858</v>
      </c>
      <c r="E287" s="759"/>
      <c r="F287" s="759"/>
      <c r="G287" s="1366"/>
      <c r="H287" s="760"/>
      <c r="I287" s="443">
        <f>SUM(J287:Q287)</f>
        <v>15811</v>
      </c>
      <c r="J287" s="1099">
        <f>SUM(J285:J286)</f>
        <v>79</v>
      </c>
      <c r="K287" s="1099">
        <f t="shared" ref="K287:N287" si="17">SUM(K285:K286)</f>
        <v>33</v>
      </c>
      <c r="L287" s="1099">
        <f t="shared" si="17"/>
        <v>6699</v>
      </c>
      <c r="M287" s="1099"/>
      <c r="N287" s="1104">
        <f t="shared" si="17"/>
        <v>9000</v>
      </c>
    </row>
    <row r="288" spans="1:16" s="701" customFormat="1" ht="22.5" customHeight="1" x14ac:dyDescent="0.35">
      <c r="A288" s="716">
        <v>280</v>
      </c>
      <c r="B288" s="786"/>
      <c r="C288" s="745">
        <v>44</v>
      </c>
      <c r="D288" s="746" t="s">
        <v>57</v>
      </c>
      <c r="E288" s="736">
        <f>SUM(E293,E298,E308,E313)+E303</f>
        <v>4600</v>
      </c>
      <c r="F288" s="736">
        <f>SUM(F293,F298,F308,F313)+F303</f>
        <v>24100</v>
      </c>
      <c r="G288" s="737">
        <f>SUM(G293,G298,G308,G313)+G303</f>
        <v>16200</v>
      </c>
      <c r="H288" s="738" t="s">
        <v>24</v>
      </c>
      <c r="I288" s="770"/>
      <c r="J288" s="771"/>
      <c r="K288" s="771"/>
      <c r="L288" s="771"/>
      <c r="M288" s="771"/>
      <c r="N288" s="772"/>
      <c r="O288" s="702"/>
      <c r="P288" s="702"/>
    </row>
    <row r="289" spans="1:16" s="761" customFormat="1" ht="18" customHeight="1" x14ac:dyDescent="0.3">
      <c r="A289" s="716">
        <v>281</v>
      </c>
      <c r="B289" s="757"/>
      <c r="C289" s="758"/>
      <c r="D289" s="241" t="s">
        <v>245</v>
      </c>
      <c r="E289" s="759"/>
      <c r="F289" s="759"/>
      <c r="G289" s="1366"/>
      <c r="H289" s="760"/>
      <c r="I289" s="739">
        <f>SUM(J289:N289)</f>
        <v>29800</v>
      </c>
      <c r="J289" s="754">
        <f>SUM(J294,J314)+J299+J304+J309</f>
        <v>0</v>
      </c>
      <c r="K289" s="754">
        <f t="shared" ref="K289:N289" si="18">SUM(K294,K314)+K299+K304+K309</f>
        <v>0</v>
      </c>
      <c r="L289" s="754">
        <f t="shared" si="18"/>
        <v>0</v>
      </c>
      <c r="M289" s="754">
        <f t="shared" si="18"/>
        <v>0</v>
      </c>
      <c r="N289" s="755">
        <f t="shared" si="18"/>
        <v>29800</v>
      </c>
    </row>
    <row r="290" spans="1:16" s="761" customFormat="1" ht="18" customHeight="1" x14ac:dyDescent="0.3">
      <c r="A290" s="716">
        <v>282</v>
      </c>
      <c r="B290" s="757"/>
      <c r="C290" s="758"/>
      <c r="D290" s="377" t="s">
        <v>810</v>
      </c>
      <c r="E290" s="759"/>
      <c r="F290" s="759"/>
      <c r="G290" s="1366"/>
      <c r="H290" s="760"/>
      <c r="I290" s="1446">
        <f>SUM(J290:N290)</f>
        <v>26300</v>
      </c>
      <c r="J290" s="1100">
        <f>SUM(J295,J315)+J300+J305+J310</f>
        <v>0</v>
      </c>
      <c r="K290" s="1100">
        <f t="shared" ref="K290:N290" si="19">SUM(K295,K315)+K300+K305+K310</f>
        <v>0</v>
      </c>
      <c r="L290" s="1100">
        <f t="shared" si="19"/>
        <v>0</v>
      </c>
      <c r="M290" s="1100">
        <f t="shared" si="19"/>
        <v>0</v>
      </c>
      <c r="N290" s="1108">
        <f t="shared" si="19"/>
        <v>26300</v>
      </c>
    </row>
    <row r="291" spans="1:16" s="761" customFormat="1" ht="18" customHeight="1" x14ac:dyDescent="0.3">
      <c r="A291" s="716">
        <v>283</v>
      </c>
      <c r="B291" s="757"/>
      <c r="C291" s="758"/>
      <c r="D291" s="910" t="s">
        <v>652</v>
      </c>
      <c r="E291" s="759"/>
      <c r="F291" s="759"/>
      <c r="G291" s="1366"/>
      <c r="H291" s="760"/>
      <c r="I291" s="299">
        <f>SUM(J291:Q291)</f>
        <v>0</v>
      </c>
      <c r="J291" s="1110">
        <f>SUM(J296,J316)+J301+J306+J311</f>
        <v>0</v>
      </c>
      <c r="K291" s="1110">
        <f t="shared" ref="K291:N291" si="20">SUM(K296,K316)+K301+K306+K311</f>
        <v>0</v>
      </c>
      <c r="L291" s="1110">
        <f t="shared" si="20"/>
        <v>0</v>
      </c>
      <c r="M291" s="1110">
        <f t="shared" si="20"/>
        <v>0</v>
      </c>
      <c r="N291" s="1116">
        <f t="shared" si="20"/>
        <v>0</v>
      </c>
    </row>
    <row r="292" spans="1:16" s="761" customFormat="1" ht="18" customHeight="1" x14ac:dyDescent="0.3">
      <c r="A292" s="716">
        <v>284</v>
      </c>
      <c r="B292" s="757"/>
      <c r="C292" s="758"/>
      <c r="D292" s="377" t="s">
        <v>858</v>
      </c>
      <c r="E292" s="759"/>
      <c r="F292" s="759"/>
      <c r="G292" s="1366"/>
      <c r="H292" s="760"/>
      <c r="I292" s="443">
        <f>SUM(J292:Q292)</f>
        <v>26300</v>
      </c>
      <c r="J292" s="1100">
        <f>SUM(J290:J291)</f>
        <v>0</v>
      </c>
      <c r="K292" s="1100">
        <f t="shared" ref="K292:N292" si="21">SUM(K290:K291)</f>
        <v>0</v>
      </c>
      <c r="L292" s="1100">
        <f t="shared" si="21"/>
        <v>0</v>
      </c>
      <c r="M292" s="1100">
        <f t="shared" si="21"/>
        <v>0</v>
      </c>
      <c r="N292" s="1108">
        <f t="shared" si="21"/>
        <v>26300</v>
      </c>
    </row>
    <row r="293" spans="1:16" s="787" customFormat="1" ht="18" customHeight="1" x14ac:dyDescent="0.3">
      <c r="A293" s="716">
        <v>285</v>
      </c>
      <c r="B293" s="762"/>
      <c r="C293" s="735"/>
      <c r="D293" s="131" t="s">
        <v>58</v>
      </c>
      <c r="E293" s="736"/>
      <c r="F293" s="736">
        <v>3500</v>
      </c>
      <c r="G293" s="736"/>
      <c r="H293" s="764"/>
      <c r="I293" s="765"/>
      <c r="J293" s="771"/>
      <c r="K293" s="771"/>
      <c r="L293" s="771"/>
      <c r="M293" s="771"/>
      <c r="N293" s="767"/>
      <c r="P293" s="788"/>
    </row>
    <row r="294" spans="1:16" s="789" customFormat="1" ht="18" customHeight="1" x14ac:dyDescent="0.3">
      <c r="A294" s="716">
        <v>286</v>
      </c>
      <c r="B294" s="775"/>
      <c r="C294" s="758"/>
      <c r="D294" s="774" t="s">
        <v>245</v>
      </c>
      <c r="E294" s="759"/>
      <c r="F294" s="759"/>
      <c r="G294" s="1366"/>
      <c r="H294" s="778"/>
      <c r="I294" s="769">
        <f>SUM(J294:N294)</f>
        <v>3500</v>
      </c>
      <c r="J294" s="776"/>
      <c r="K294" s="776"/>
      <c r="L294" s="776"/>
      <c r="M294" s="776"/>
      <c r="N294" s="767">
        <v>3500</v>
      </c>
      <c r="P294" s="790"/>
    </row>
    <row r="295" spans="1:16" s="789" customFormat="1" ht="18" customHeight="1" x14ac:dyDescent="0.3">
      <c r="A295" s="716">
        <v>287</v>
      </c>
      <c r="B295" s="775"/>
      <c r="C295" s="758"/>
      <c r="D295" s="792" t="s">
        <v>810</v>
      </c>
      <c r="E295" s="759"/>
      <c r="F295" s="759"/>
      <c r="G295" s="1366"/>
      <c r="H295" s="778"/>
      <c r="I295" s="1448">
        <f>SUM(J295:N295)</f>
        <v>0</v>
      </c>
      <c r="J295" s="1106"/>
      <c r="K295" s="1106"/>
      <c r="L295" s="1106"/>
      <c r="M295" s="1106"/>
      <c r="N295" s="1115">
        <v>0</v>
      </c>
      <c r="P295" s="790"/>
    </row>
    <row r="296" spans="1:16" s="789" customFormat="1" ht="18" customHeight="1" x14ac:dyDescent="0.3">
      <c r="A296" s="716">
        <v>288</v>
      </c>
      <c r="B296" s="775"/>
      <c r="C296" s="758"/>
      <c r="D296" s="792" t="s">
        <v>652</v>
      </c>
      <c r="E296" s="759"/>
      <c r="F296" s="759"/>
      <c r="G296" s="1366"/>
      <c r="H296" s="778"/>
      <c r="I296" s="299">
        <f>SUM(J296:Q296)</f>
        <v>0</v>
      </c>
      <c r="J296" s="776"/>
      <c r="K296" s="776"/>
      <c r="L296" s="776"/>
      <c r="M296" s="776"/>
      <c r="N296" s="1115"/>
      <c r="P296" s="790"/>
    </row>
    <row r="297" spans="1:16" s="789" customFormat="1" ht="18" customHeight="1" x14ac:dyDescent="0.3">
      <c r="A297" s="716">
        <v>289</v>
      </c>
      <c r="B297" s="775"/>
      <c r="C297" s="758"/>
      <c r="D297" s="792" t="s">
        <v>858</v>
      </c>
      <c r="E297" s="759"/>
      <c r="F297" s="759"/>
      <c r="G297" s="1366"/>
      <c r="H297" s="778"/>
      <c r="I297" s="299">
        <f>SUM(J297:Q297)</f>
        <v>0</v>
      </c>
      <c r="J297" s="776"/>
      <c r="K297" s="776"/>
      <c r="L297" s="776"/>
      <c r="M297" s="776"/>
      <c r="N297" s="1115">
        <f>SUM(N295:N296)</f>
        <v>0</v>
      </c>
      <c r="P297" s="790"/>
    </row>
    <row r="298" spans="1:16" s="787" customFormat="1" ht="18" customHeight="1" x14ac:dyDescent="0.3">
      <c r="A298" s="716">
        <v>290</v>
      </c>
      <c r="B298" s="762"/>
      <c r="C298" s="735"/>
      <c r="D298" s="131" t="s">
        <v>59</v>
      </c>
      <c r="E298" s="736"/>
      <c r="F298" s="736">
        <v>15000</v>
      </c>
      <c r="G298" s="737">
        <v>10000</v>
      </c>
      <c r="H298" s="764"/>
      <c r="I298" s="791"/>
      <c r="J298" s="771"/>
      <c r="K298" s="771"/>
      <c r="L298" s="771"/>
      <c r="M298" s="771"/>
      <c r="N298" s="772"/>
      <c r="P298" s="788"/>
    </row>
    <row r="299" spans="1:16" s="787" customFormat="1" ht="18" customHeight="1" x14ac:dyDescent="0.3">
      <c r="A299" s="716">
        <v>291</v>
      </c>
      <c r="B299" s="762"/>
      <c r="C299" s="735"/>
      <c r="D299" s="774" t="s">
        <v>245</v>
      </c>
      <c r="E299" s="736"/>
      <c r="F299" s="736"/>
      <c r="G299" s="737"/>
      <c r="H299" s="764"/>
      <c r="I299" s="769">
        <f>SUM(J299:N299)</f>
        <v>20000</v>
      </c>
      <c r="J299" s="771"/>
      <c r="K299" s="771"/>
      <c r="L299" s="771"/>
      <c r="M299" s="771"/>
      <c r="N299" s="772">
        <f>10000+10000</f>
        <v>20000</v>
      </c>
      <c r="P299" s="788"/>
    </row>
    <row r="300" spans="1:16" s="787" customFormat="1" ht="18" customHeight="1" x14ac:dyDescent="0.3">
      <c r="A300" s="716">
        <v>292</v>
      </c>
      <c r="B300" s="762"/>
      <c r="C300" s="735"/>
      <c r="D300" s="792" t="s">
        <v>810</v>
      </c>
      <c r="E300" s="736"/>
      <c r="F300" s="736"/>
      <c r="G300" s="737"/>
      <c r="H300" s="764"/>
      <c r="I300" s="1448">
        <f>SUM(J300:N300)</f>
        <v>20000</v>
      </c>
      <c r="J300" s="1110"/>
      <c r="K300" s="1110"/>
      <c r="L300" s="1110"/>
      <c r="M300" s="1110"/>
      <c r="N300" s="1116">
        <v>20000</v>
      </c>
      <c r="P300" s="788"/>
    </row>
    <row r="301" spans="1:16" s="787" customFormat="1" ht="18" customHeight="1" x14ac:dyDescent="0.3">
      <c r="A301" s="716">
        <v>293</v>
      </c>
      <c r="B301" s="762"/>
      <c r="C301" s="735"/>
      <c r="D301" s="792" t="s">
        <v>652</v>
      </c>
      <c r="E301" s="736"/>
      <c r="F301" s="736"/>
      <c r="G301" s="737"/>
      <c r="H301" s="764"/>
      <c r="I301" s="299">
        <f>SUM(J301:Q301)</f>
        <v>0</v>
      </c>
      <c r="J301" s="771"/>
      <c r="K301" s="771"/>
      <c r="L301" s="771"/>
      <c r="M301" s="771"/>
      <c r="N301" s="772"/>
      <c r="P301" s="788"/>
    </row>
    <row r="302" spans="1:16" s="787" customFormat="1" ht="18" customHeight="1" x14ac:dyDescent="0.3">
      <c r="A302" s="716">
        <v>294</v>
      </c>
      <c r="B302" s="762"/>
      <c r="C302" s="735"/>
      <c r="D302" s="792" t="s">
        <v>858</v>
      </c>
      <c r="E302" s="736"/>
      <c r="F302" s="736"/>
      <c r="G302" s="737"/>
      <c r="H302" s="764"/>
      <c r="I302" s="299">
        <f>SUM(J302:Q302)</f>
        <v>20000</v>
      </c>
      <c r="J302" s="771"/>
      <c r="K302" s="771"/>
      <c r="L302" s="771"/>
      <c r="M302" s="771"/>
      <c r="N302" s="1116">
        <f>SUM(N300:N301)</f>
        <v>20000</v>
      </c>
      <c r="P302" s="788"/>
    </row>
    <row r="303" spans="1:16" s="787" customFormat="1" ht="18" customHeight="1" x14ac:dyDescent="0.3">
      <c r="A303" s="716">
        <v>295</v>
      </c>
      <c r="B303" s="762"/>
      <c r="C303" s="735"/>
      <c r="D303" s="131" t="s">
        <v>432</v>
      </c>
      <c r="E303" s="736">
        <v>4000</v>
      </c>
      <c r="F303" s="736">
        <v>4000</v>
      </c>
      <c r="G303" s="737">
        <v>4000</v>
      </c>
      <c r="H303" s="764"/>
      <c r="I303" s="769"/>
      <c r="J303" s="771"/>
      <c r="K303" s="771"/>
      <c r="L303" s="771"/>
      <c r="M303" s="771"/>
      <c r="N303" s="772"/>
      <c r="P303" s="788"/>
    </row>
    <row r="304" spans="1:16" s="787" customFormat="1" ht="18" customHeight="1" x14ac:dyDescent="0.3">
      <c r="A304" s="716">
        <v>296</v>
      </c>
      <c r="B304" s="762"/>
      <c r="C304" s="735"/>
      <c r="D304" s="774" t="s">
        <v>245</v>
      </c>
      <c r="E304" s="736"/>
      <c r="F304" s="736"/>
      <c r="G304" s="737"/>
      <c r="H304" s="764"/>
      <c r="I304" s="769">
        <f>SUM(J304:N304)</f>
        <v>4000</v>
      </c>
      <c r="J304" s="771"/>
      <c r="K304" s="771"/>
      <c r="L304" s="771"/>
      <c r="M304" s="771"/>
      <c r="N304" s="772">
        <v>4000</v>
      </c>
      <c r="P304" s="788"/>
    </row>
    <row r="305" spans="1:16" s="787" customFormat="1" ht="18" customHeight="1" x14ac:dyDescent="0.3">
      <c r="A305" s="716">
        <v>297</v>
      </c>
      <c r="B305" s="762"/>
      <c r="C305" s="735"/>
      <c r="D305" s="792" t="s">
        <v>810</v>
      </c>
      <c r="E305" s="736"/>
      <c r="F305" s="736"/>
      <c r="G305" s="737"/>
      <c r="H305" s="764"/>
      <c r="I305" s="1448">
        <f>SUM(J305:N305)</f>
        <v>4000</v>
      </c>
      <c r="J305" s="1110"/>
      <c r="K305" s="1110"/>
      <c r="L305" s="1110"/>
      <c r="M305" s="1110"/>
      <c r="N305" s="1116">
        <v>4000</v>
      </c>
      <c r="P305" s="788"/>
    </row>
    <row r="306" spans="1:16" s="787" customFormat="1" ht="18" customHeight="1" x14ac:dyDescent="0.3">
      <c r="A306" s="716">
        <v>298</v>
      </c>
      <c r="B306" s="762"/>
      <c r="C306" s="735"/>
      <c r="D306" s="792" t="s">
        <v>652</v>
      </c>
      <c r="E306" s="736"/>
      <c r="F306" s="736"/>
      <c r="G306" s="737"/>
      <c r="H306" s="764"/>
      <c r="I306" s="299">
        <f>SUM(J306:Q306)</f>
        <v>0</v>
      </c>
      <c r="J306" s="771"/>
      <c r="K306" s="771"/>
      <c r="L306" s="771"/>
      <c r="M306" s="771"/>
      <c r="N306" s="772"/>
      <c r="P306" s="788"/>
    </row>
    <row r="307" spans="1:16" s="787" customFormat="1" ht="18" customHeight="1" x14ac:dyDescent="0.3">
      <c r="A307" s="716">
        <v>299</v>
      </c>
      <c r="B307" s="762"/>
      <c r="C307" s="735"/>
      <c r="D307" s="792" t="s">
        <v>858</v>
      </c>
      <c r="E307" s="736"/>
      <c r="F307" s="736"/>
      <c r="G307" s="737"/>
      <c r="H307" s="764"/>
      <c r="I307" s="299">
        <f>SUM(J307:Q307)</f>
        <v>4000</v>
      </c>
      <c r="J307" s="771"/>
      <c r="K307" s="771"/>
      <c r="L307" s="771"/>
      <c r="M307" s="771"/>
      <c r="N307" s="1116">
        <f>SUM(N305:N306)</f>
        <v>4000</v>
      </c>
      <c r="P307" s="788"/>
    </row>
    <row r="308" spans="1:16" s="787" customFormat="1" ht="18" customHeight="1" x14ac:dyDescent="0.3">
      <c r="A308" s="716">
        <v>300</v>
      </c>
      <c r="B308" s="762"/>
      <c r="C308" s="735"/>
      <c r="D308" s="131" t="s">
        <v>331</v>
      </c>
      <c r="E308" s="736"/>
      <c r="F308" s="736">
        <v>1000</v>
      </c>
      <c r="G308" s="737">
        <v>1000</v>
      </c>
      <c r="H308" s="764"/>
      <c r="I308" s="791"/>
      <c r="J308" s="771"/>
      <c r="K308" s="771"/>
      <c r="L308" s="771"/>
      <c r="M308" s="771"/>
      <c r="N308" s="772"/>
      <c r="P308" s="788"/>
    </row>
    <row r="309" spans="1:16" s="787" customFormat="1" ht="18" customHeight="1" x14ac:dyDescent="0.3">
      <c r="A309" s="716">
        <v>301</v>
      </c>
      <c r="B309" s="762"/>
      <c r="C309" s="735"/>
      <c r="D309" s="774" t="s">
        <v>245</v>
      </c>
      <c r="E309" s="736"/>
      <c r="F309" s="736"/>
      <c r="G309" s="737"/>
      <c r="H309" s="764"/>
      <c r="I309" s="769">
        <f>SUM(J309:N309)</f>
        <v>1000</v>
      </c>
      <c r="J309" s="771"/>
      <c r="K309" s="771"/>
      <c r="L309" s="771"/>
      <c r="M309" s="771"/>
      <c r="N309" s="772">
        <v>1000</v>
      </c>
      <c r="P309" s="788"/>
    </row>
    <row r="310" spans="1:16" s="787" customFormat="1" ht="18" customHeight="1" x14ac:dyDescent="0.3">
      <c r="A310" s="716">
        <v>302</v>
      </c>
      <c r="B310" s="762"/>
      <c r="C310" s="735"/>
      <c r="D310" s="792" t="s">
        <v>810</v>
      </c>
      <c r="E310" s="736"/>
      <c r="F310" s="736"/>
      <c r="G310" s="737"/>
      <c r="H310" s="764"/>
      <c r="I310" s="1448">
        <f>SUM(J310:N310)</f>
        <v>1000</v>
      </c>
      <c r="J310" s="1110"/>
      <c r="K310" s="1110"/>
      <c r="L310" s="1110"/>
      <c r="M310" s="1110"/>
      <c r="N310" s="1116">
        <v>1000</v>
      </c>
      <c r="P310" s="788"/>
    </row>
    <row r="311" spans="1:16" s="787" customFormat="1" ht="18" customHeight="1" x14ac:dyDescent="0.3">
      <c r="A311" s="716">
        <v>303</v>
      </c>
      <c r="B311" s="762"/>
      <c r="C311" s="735"/>
      <c r="D311" s="792" t="s">
        <v>652</v>
      </c>
      <c r="E311" s="736"/>
      <c r="F311" s="736"/>
      <c r="G311" s="737"/>
      <c r="H311" s="764"/>
      <c r="I311" s="299">
        <f>SUM(J311:Q311)</f>
        <v>0</v>
      </c>
      <c r="J311" s="771"/>
      <c r="K311" s="771"/>
      <c r="L311" s="771"/>
      <c r="M311" s="771"/>
      <c r="N311" s="772"/>
      <c r="P311" s="788"/>
    </row>
    <row r="312" spans="1:16" s="787" customFormat="1" ht="18" customHeight="1" x14ac:dyDescent="0.3">
      <c r="A312" s="716">
        <v>304</v>
      </c>
      <c r="B312" s="762"/>
      <c r="C312" s="735"/>
      <c r="D312" s="792" t="s">
        <v>858</v>
      </c>
      <c r="E312" s="736"/>
      <c r="F312" s="736"/>
      <c r="G312" s="737"/>
      <c r="H312" s="764"/>
      <c r="I312" s="299">
        <f>SUM(J312:Q312)</f>
        <v>1000</v>
      </c>
      <c r="J312" s="771"/>
      <c r="K312" s="771"/>
      <c r="L312" s="771"/>
      <c r="M312" s="771"/>
      <c r="N312" s="1116">
        <f>SUM(N310:N311)</f>
        <v>1000</v>
      </c>
      <c r="P312" s="788"/>
    </row>
    <row r="313" spans="1:16" s="787" customFormat="1" ht="18" customHeight="1" x14ac:dyDescent="0.3">
      <c r="A313" s="716">
        <v>305</v>
      </c>
      <c r="B313" s="762"/>
      <c r="C313" s="735"/>
      <c r="D313" s="131" t="s">
        <v>332</v>
      </c>
      <c r="E313" s="736">
        <v>600</v>
      </c>
      <c r="F313" s="736">
        <v>600</v>
      </c>
      <c r="G313" s="737">
        <v>1200</v>
      </c>
      <c r="H313" s="764"/>
      <c r="I313" s="791"/>
      <c r="J313" s="771"/>
      <c r="K313" s="771"/>
      <c r="L313" s="771"/>
      <c r="M313" s="771"/>
      <c r="N313" s="772"/>
      <c r="P313" s="788"/>
    </row>
    <row r="314" spans="1:16" s="789" customFormat="1" ht="18" customHeight="1" x14ac:dyDescent="0.3">
      <c r="A314" s="716">
        <v>306</v>
      </c>
      <c r="B314" s="775"/>
      <c r="C314" s="758"/>
      <c r="D314" s="774" t="s">
        <v>245</v>
      </c>
      <c r="E314" s="759"/>
      <c r="F314" s="759"/>
      <c r="G314" s="1366"/>
      <c r="H314" s="778"/>
      <c r="I314" s="769">
        <f>SUM(J314:N314)</f>
        <v>1300</v>
      </c>
      <c r="J314" s="776"/>
      <c r="K314" s="776"/>
      <c r="L314" s="776"/>
      <c r="M314" s="776"/>
      <c r="N314" s="767">
        <v>1300</v>
      </c>
      <c r="P314" s="790"/>
    </row>
    <row r="315" spans="1:16" s="789" customFormat="1" ht="18" customHeight="1" x14ac:dyDescent="0.3">
      <c r="A315" s="716">
        <v>307</v>
      </c>
      <c r="B315" s="775"/>
      <c r="C315" s="758"/>
      <c r="D315" s="792" t="s">
        <v>810</v>
      </c>
      <c r="E315" s="759"/>
      <c r="F315" s="759"/>
      <c r="G315" s="1366"/>
      <c r="H315" s="778"/>
      <c r="I315" s="1448">
        <f>SUM(J315:N315)</f>
        <v>1300</v>
      </c>
      <c r="J315" s="1106"/>
      <c r="K315" s="1106"/>
      <c r="L315" s="1106"/>
      <c r="M315" s="1106"/>
      <c r="N315" s="1115">
        <v>1300</v>
      </c>
      <c r="P315" s="790"/>
    </row>
    <row r="316" spans="1:16" s="789" customFormat="1" ht="18" customHeight="1" x14ac:dyDescent="0.3">
      <c r="A316" s="716">
        <v>308</v>
      </c>
      <c r="B316" s="775"/>
      <c r="C316" s="758"/>
      <c r="D316" s="792" t="s">
        <v>652</v>
      </c>
      <c r="E316" s="759"/>
      <c r="F316" s="759"/>
      <c r="G316" s="1366"/>
      <c r="H316" s="778"/>
      <c r="I316" s="299">
        <f>SUM(J316:Q316)</f>
        <v>0</v>
      </c>
      <c r="J316" s="776"/>
      <c r="K316" s="776"/>
      <c r="L316" s="776"/>
      <c r="M316" s="776"/>
      <c r="N316" s="767"/>
      <c r="P316" s="790"/>
    </row>
    <row r="317" spans="1:16" s="789" customFormat="1" ht="18" customHeight="1" x14ac:dyDescent="0.3">
      <c r="A317" s="716">
        <v>309</v>
      </c>
      <c r="B317" s="775"/>
      <c r="C317" s="758"/>
      <c r="D317" s="792" t="s">
        <v>858</v>
      </c>
      <c r="E317" s="759"/>
      <c r="F317" s="759"/>
      <c r="G317" s="1366"/>
      <c r="H317" s="778"/>
      <c r="I317" s="299">
        <f>SUM(J317:Q317)</f>
        <v>1300</v>
      </c>
      <c r="J317" s="776"/>
      <c r="K317" s="776"/>
      <c r="L317" s="776"/>
      <c r="M317" s="776"/>
      <c r="N317" s="1115">
        <f>SUM(N315:N316)</f>
        <v>1300</v>
      </c>
      <c r="P317" s="790"/>
    </row>
    <row r="318" spans="1:16" s="701" customFormat="1" ht="22.5" customHeight="1" x14ac:dyDescent="0.35">
      <c r="A318" s="716">
        <v>310</v>
      </c>
      <c r="B318" s="786"/>
      <c r="C318" s="745">
        <v>45</v>
      </c>
      <c r="D318" s="746" t="s">
        <v>262</v>
      </c>
      <c r="E318" s="736">
        <f>SUM(E323,E324,E325,E330)</f>
        <v>6000</v>
      </c>
      <c r="F318" s="736">
        <f>SUM(F323,F324,F325,F330)+F335+F340</f>
        <v>18700</v>
      </c>
      <c r="G318" s="737">
        <f>SUM(G323,G324,G325,G330)+G335+G340+G341+G346</f>
        <v>57605</v>
      </c>
      <c r="H318" s="738" t="s">
        <v>24</v>
      </c>
      <c r="I318" s="770"/>
      <c r="J318" s="771"/>
      <c r="K318" s="771"/>
      <c r="L318" s="771"/>
      <c r="M318" s="771"/>
      <c r="N318" s="772"/>
      <c r="O318" s="702"/>
      <c r="P318" s="702"/>
    </row>
    <row r="319" spans="1:16" s="761" customFormat="1" ht="18" customHeight="1" x14ac:dyDescent="0.3">
      <c r="A319" s="716">
        <v>311</v>
      </c>
      <c r="B319" s="757"/>
      <c r="C319" s="758"/>
      <c r="D319" s="241" t="s">
        <v>245</v>
      </c>
      <c r="E319" s="759"/>
      <c r="F319" s="759"/>
      <c r="G319" s="1366"/>
      <c r="H319" s="760"/>
      <c r="I319" s="739">
        <f>SUM(J319:N319)</f>
        <v>59700</v>
      </c>
      <c r="J319" s="754">
        <f>J326+J331+J336+J342+J347</f>
        <v>0</v>
      </c>
      <c r="K319" s="754">
        <f>K326+K331+K336+K342+K347</f>
        <v>0</v>
      </c>
      <c r="L319" s="754">
        <f>L326+L331+L336+L342+L347</f>
        <v>100</v>
      </c>
      <c r="M319" s="754">
        <f>M326+M331+M336+M342+M347</f>
        <v>0</v>
      </c>
      <c r="N319" s="755">
        <f>N326+N331+N336+N342+N347</f>
        <v>59600</v>
      </c>
    </row>
    <row r="320" spans="1:16" s="761" customFormat="1" ht="18" customHeight="1" x14ac:dyDescent="0.3">
      <c r="A320" s="716">
        <v>312</v>
      </c>
      <c r="B320" s="757"/>
      <c r="C320" s="758"/>
      <c r="D320" s="377" t="s">
        <v>810</v>
      </c>
      <c r="E320" s="759"/>
      <c r="F320" s="759"/>
      <c r="G320" s="1366"/>
      <c r="H320" s="760"/>
      <c r="I320" s="1446">
        <f>SUM(J320:N320)</f>
        <v>59700</v>
      </c>
      <c r="J320" s="1100">
        <f>J327+J332+J337+J341+J343+J348</f>
        <v>200</v>
      </c>
      <c r="K320" s="1100">
        <f>K327+K332+K337+K341+K343+K348</f>
        <v>66</v>
      </c>
      <c r="L320" s="1100">
        <f>L327+L332+L337+L341+L343+L348</f>
        <v>2834</v>
      </c>
      <c r="M320" s="1100">
        <f>M327+M332+M337+M341+M343+M348</f>
        <v>0</v>
      </c>
      <c r="N320" s="1108">
        <f>N327+N332+N337+N341+N343+N348</f>
        <v>56600</v>
      </c>
    </row>
    <row r="321" spans="1:16" s="761" customFormat="1" ht="18" customHeight="1" x14ac:dyDescent="0.3">
      <c r="A321" s="716">
        <v>313</v>
      </c>
      <c r="B321" s="757"/>
      <c r="C321" s="758"/>
      <c r="D321" s="910" t="s">
        <v>652</v>
      </c>
      <c r="E321" s="759"/>
      <c r="F321" s="759"/>
      <c r="G321" s="1366"/>
      <c r="H321" s="760"/>
      <c r="I321" s="299">
        <f>SUM(J321:Q321)</f>
        <v>0</v>
      </c>
      <c r="J321" s="1110">
        <f>J328+J333+J338+J344+J349</f>
        <v>0</v>
      </c>
      <c r="K321" s="1110">
        <f>K328+K333+K338+K344+K349</f>
        <v>0</v>
      </c>
      <c r="L321" s="1110">
        <f>L328+L333+L338+L344+L349</f>
        <v>5000</v>
      </c>
      <c r="M321" s="1110">
        <f>M328+M333+M338+M344+M349</f>
        <v>0</v>
      </c>
      <c r="N321" s="1116">
        <f>N328+N333+N338+N344+N349</f>
        <v>-5000</v>
      </c>
    </row>
    <row r="322" spans="1:16" s="761" customFormat="1" ht="18" customHeight="1" x14ac:dyDescent="0.3">
      <c r="A322" s="716">
        <v>314</v>
      </c>
      <c r="B322" s="757"/>
      <c r="C322" s="758"/>
      <c r="D322" s="377" t="s">
        <v>858</v>
      </c>
      <c r="E322" s="759"/>
      <c r="F322" s="759"/>
      <c r="G322" s="1366"/>
      <c r="H322" s="760"/>
      <c r="I322" s="443">
        <f>SUM(J322:Q322)</f>
        <v>59700</v>
      </c>
      <c r="J322" s="1100">
        <f>SUM(J320:J321)</f>
        <v>200</v>
      </c>
      <c r="K322" s="1100">
        <f t="shared" ref="K322:N322" si="22">SUM(K320:K321)</f>
        <v>66</v>
      </c>
      <c r="L322" s="1100">
        <f t="shared" si="22"/>
        <v>7834</v>
      </c>
      <c r="M322" s="1100">
        <f t="shared" si="22"/>
        <v>0</v>
      </c>
      <c r="N322" s="1108">
        <f t="shared" si="22"/>
        <v>51600</v>
      </c>
    </row>
    <row r="323" spans="1:16" s="787" customFormat="1" ht="18" customHeight="1" x14ac:dyDescent="0.3">
      <c r="A323" s="716">
        <v>315</v>
      </c>
      <c r="B323" s="762"/>
      <c r="C323" s="735"/>
      <c r="D323" s="131" t="s">
        <v>226</v>
      </c>
      <c r="E323" s="736"/>
      <c r="F323" s="736"/>
      <c r="G323" s="737"/>
      <c r="H323" s="764"/>
      <c r="I323" s="765"/>
      <c r="J323" s="766"/>
      <c r="K323" s="766"/>
      <c r="L323" s="766"/>
      <c r="M323" s="766"/>
      <c r="N323" s="767"/>
      <c r="P323" s="788"/>
    </row>
    <row r="324" spans="1:16" s="787" customFormat="1" ht="18" customHeight="1" x14ac:dyDescent="0.3">
      <c r="A324" s="716">
        <v>316</v>
      </c>
      <c r="B324" s="762"/>
      <c r="C324" s="735"/>
      <c r="D324" s="131" t="s">
        <v>256</v>
      </c>
      <c r="E324" s="736"/>
      <c r="F324" s="736"/>
      <c r="G324" s="737"/>
      <c r="H324" s="764"/>
      <c r="I324" s="765"/>
      <c r="J324" s="771"/>
      <c r="K324" s="771"/>
      <c r="L324" s="771"/>
      <c r="M324" s="771"/>
      <c r="N324" s="772"/>
      <c r="P324" s="788"/>
    </row>
    <row r="325" spans="1:16" s="787" customFormat="1" ht="18" customHeight="1" x14ac:dyDescent="0.3">
      <c r="A325" s="716">
        <v>317</v>
      </c>
      <c r="B325" s="762"/>
      <c r="C325" s="735"/>
      <c r="D325" s="131" t="s">
        <v>228</v>
      </c>
      <c r="E325" s="736">
        <v>5000</v>
      </c>
      <c r="F325" s="736">
        <v>5000</v>
      </c>
      <c r="G325" s="737">
        <v>5000</v>
      </c>
      <c r="H325" s="764"/>
      <c r="I325" s="769"/>
      <c r="J325" s="771"/>
      <c r="K325" s="771"/>
      <c r="L325" s="771"/>
      <c r="M325" s="771"/>
      <c r="N325" s="772"/>
      <c r="P325" s="788"/>
    </row>
    <row r="326" spans="1:16" s="787" customFormat="1" ht="18" customHeight="1" x14ac:dyDescent="0.3">
      <c r="A326" s="716">
        <v>318</v>
      </c>
      <c r="B326" s="762"/>
      <c r="C326" s="735"/>
      <c r="D326" s="774" t="s">
        <v>245</v>
      </c>
      <c r="E326" s="736"/>
      <c r="F326" s="736"/>
      <c r="G326" s="737"/>
      <c r="H326" s="764"/>
      <c r="I326" s="769">
        <f>SUM(J326:N326)</f>
        <v>5000</v>
      </c>
      <c r="J326" s="771"/>
      <c r="K326" s="771"/>
      <c r="L326" s="771"/>
      <c r="M326" s="771"/>
      <c r="N326" s="772">
        <v>5000</v>
      </c>
      <c r="P326" s="788"/>
    </row>
    <row r="327" spans="1:16" s="787" customFormat="1" ht="18" customHeight="1" x14ac:dyDescent="0.3">
      <c r="A327" s="716">
        <v>319</v>
      </c>
      <c r="B327" s="762"/>
      <c r="C327" s="735"/>
      <c r="D327" s="792" t="s">
        <v>810</v>
      </c>
      <c r="E327" s="736"/>
      <c r="F327" s="736"/>
      <c r="G327" s="737"/>
      <c r="H327" s="764"/>
      <c r="I327" s="1448">
        <f>SUM(J327:N327)</f>
        <v>5000</v>
      </c>
      <c r="J327" s="1110"/>
      <c r="K327" s="1110"/>
      <c r="L327" s="1110"/>
      <c r="M327" s="1110"/>
      <c r="N327" s="1116">
        <v>5000</v>
      </c>
      <c r="P327" s="788"/>
    </row>
    <row r="328" spans="1:16" s="787" customFormat="1" ht="18" customHeight="1" x14ac:dyDescent="0.3">
      <c r="A328" s="716">
        <v>320</v>
      </c>
      <c r="B328" s="762"/>
      <c r="C328" s="735"/>
      <c r="D328" s="792" t="s">
        <v>909</v>
      </c>
      <c r="E328" s="736"/>
      <c r="F328" s="736"/>
      <c r="G328" s="737"/>
      <c r="H328" s="764"/>
      <c r="I328" s="299">
        <f>SUM(J328:Q328)</f>
        <v>0</v>
      </c>
      <c r="J328" s="1110"/>
      <c r="K328" s="1110"/>
      <c r="L328" s="1110">
        <v>5000</v>
      </c>
      <c r="M328" s="1110"/>
      <c r="N328" s="1116">
        <v>-5000</v>
      </c>
      <c r="P328" s="788"/>
    </row>
    <row r="329" spans="1:16" s="787" customFormat="1" ht="18" customHeight="1" x14ac:dyDescent="0.3">
      <c r="A329" s="716">
        <v>321</v>
      </c>
      <c r="B329" s="762"/>
      <c r="C329" s="735"/>
      <c r="D329" s="792" t="s">
        <v>858</v>
      </c>
      <c r="E329" s="736"/>
      <c r="F329" s="736"/>
      <c r="G329" s="737"/>
      <c r="H329" s="764"/>
      <c r="I329" s="299">
        <f>SUM(J329:Q329)</f>
        <v>5000</v>
      </c>
      <c r="J329" s="771"/>
      <c r="K329" s="771"/>
      <c r="L329" s="771">
        <f>SUM(L328)</f>
        <v>5000</v>
      </c>
      <c r="M329" s="771"/>
      <c r="N329" s="1116">
        <f>SUM(N327:N328)</f>
        <v>0</v>
      </c>
      <c r="P329" s="788"/>
    </row>
    <row r="330" spans="1:16" s="787" customFormat="1" ht="18" customHeight="1" x14ac:dyDescent="0.3">
      <c r="A330" s="716">
        <v>322</v>
      </c>
      <c r="B330" s="762"/>
      <c r="C330" s="735"/>
      <c r="D330" s="131" t="s">
        <v>227</v>
      </c>
      <c r="E330" s="736">
        <v>1000</v>
      </c>
      <c r="F330" s="736">
        <v>1700</v>
      </c>
      <c r="G330" s="737">
        <v>800</v>
      </c>
      <c r="H330" s="764"/>
      <c r="I330" s="769"/>
      <c r="J330" s="771"/>
      <c r="K330" s="771"/>
      <c r="L330" s="771"/>
      <c r="M330" s="771"/>
      <c r="N330" s="772"/>
      <c r="P330" s="788"/>
    </row>
    <row r="331" spans="1:16" s="789" customFormat="1" ht="18" customHeight="1" x14ac:dyDescent="0.3">
      <c r="A331" s="716">
        <v>323</v>
      </c>
      <c r="B331" s="775"/>
      <c r="C331" s="758"/>
      <c r="D331" s="774" t="s">
        <v>245</v>
      </c>
      <c r="E331" s="759"/>
      <c r="F331" s="759"/>
      <c r="G331" s="1366"/>
      <c r="H331" s="778"/>
      <c r="I331" s="769">
        <f>SUM(J331:N331)</f>
        <v>1700</v>
      </c>
      <c r="J331" s="776"/>
      <c r="K331" s="776"/>
      <c r="L331" s="766">
        <v>100</v>
      </c>
      <c r="M331" s="776"/>
      <c r="N331" s="767">
        <v>1600</v>
      </c>
      <c r="P331" s="790"/>
    </row>
    <row r="332" spans="1:16" s="789" customFormat="1" ht="18" customHeight="1" x14ac:dyDescent="0.3">
      <c r="A332" s="716">
        <v>324</v>
      </c>
      <c r="B332" s="775"/>
      <c r="C332" s="758"/>
      <c r="D332" s="792" t="s">
        <v>810</v>
      </c>
      <c r="E332" s="759"/>
      <c r="F332" s="759"/>
      <c r="G332" s="1366"/>
      <c r="H332" s="778"/>
      <c r="I332" s="1448">
        <f>SUM(J332:N332)</f>
        <v>1700</v>
      </c>
      <c r="J332" s="1106"/>
      <c r="K332" s="1106"/>
      <c r="L332" s="1105">
        <v>100</v>
      </c>
      <c r="M332" s="1106"/>
      <c r="N332" s="1115">
        <v>1600</v>
      </c>
      <c r="P332" s="790"/>
    </row>
    <row r="333" spans="1:16" s="789" customFormat="1" ht="18" customHeight="1" x14ac:dyDescent="0.3">
      <c r="A333" s="716">
        <v>325</v>
      </c>
      <c r="B333" s="775"/>
      <c r="C333" s="758"/>
      <c r="D333" s="792" t="s">
        <v>652</v>
      </c>
      <c r="E333" s="759"/>
      <c r="F333" s="759"/>
      <c r="G333" s="1366"/>
      <c r="H333" s="778"/>
      <c r="I333" s="299">
        <f>SUM(J333:Q333)</f>
        <v>0</v>
      </c>
      <c r="J333" s="776"/>
      <c r="K333" s="776"/>
      <c r="L333" s="766"/>
      <c r="M333" s="776"/>
      <c r="N333" s="767"/>
      <c r="P333" s="790"/>
    </row>
    <row r="334" spans="1:16" s="789" customFormat="1" ht="18" customHeight="1" x14ac:dyDescent="0.3">
      <c r="A334" s="716">
        <v>326</v>
      </c>
      <c r="B334" s="775"/>
      <c r="C334" s="758"/>
      <c r="D334" s="792" t="s">
        <v>858</v>
      </c>
      <c r="E334" s="759"/>
      <c r="F334" s="759"/>
      <c r="G334" s="1366"/>
      <c r="H334" s="778"/>
      <c r="I334" s="299">
        <f>SUM(J334:Q334)</f>
        <v>1700</v>
      </c>
      <c r="J334" s="776"/>
      <c r="K334" s="776"/>
      <c r="L334" s="1105">
        <f>SUM(L332:L333)</f>
        <v>100</v>
      </c>
      <c r="M334" s="776"/>
      <c r="N334" s="1115">
        <f>SUM(N332:N333)</f>
        <v>1600</v>
      </c>
      <c r="P334" s="790"/>
    </row>
    <row r="335" spans="1:16" s="789" customFormat="1" ht="18" customHeight="1" x14ac:dyDescent="0.3">
      <c r="A335" s="716">
        <v>327</v>
      </c>
      <c r="B335" s="775"/>
      <c r="C335" s="758"/>
      <c r="D335" s="131" t="s">
        <v>433</v>
      </c>
      <c r="E335" s="759"/>
      <c r="F335" s="736">
        <v>7000</v>
      </c>
      <c r="G335" s="736">
        <v>715</v>
      </c>
      <c r="H335" s="778"/>
      <c r="I335" s="769"/>
      <c r="J335" s="776"/>
      <c r="K335" s="776"/>
      <c r="L335" s="776"/>
      <c r="M335" s="776"/>
      <c r="N335" s="767"/>
      <c r="P335" s="790"/>
    </row>
    <row r="336" spans="1:16" s="789" customFormat="1" ht="18" customHeight="1" x14ac:dyDescent="0.3">
      <c r="A336" s="716">
        <v>328</v>
      </c>
      <c r="B336" s="775"/>
      <c r="C336" s="758"/>
      <c r="D336" s="774" t="s">
        <v>245</v>
      </c>
      <c r="E336" s="759"/>
      <c r="F336" s="759"/>
      <c r="G336" s="1366"/>
      <c r="H336" s="778"/>
      <c r="I336" s="769">
        <f>SUM(J336:N336)</f>
        <v>3000</v>
      </c>
      <c r="J336" s="776"/>
      <c r="K336" s="776"/>
      <c r="L336" s="776"/>
      <c r="M336" s="776"/>
      <c r="N336" s="767">
        <v>3000</v>
      </c>
      <c r="P336" s="790"/>
    </row>
    <row r="337" spans="1:16" s="789" customFormat="1" ht="18" customHeight="1" x14ac:dyDescent="0.3">
      <c r="A337" s="716">
        <v>329</v>
      </c>
      <c r="B337" s="775"/>
      <c r="C337" s="758"/>
      <c r="D337" s="792" t="s">
        <v>810</v>
      </c>
      <c r="E337" s="759"/>
      <c r="F337" s="759"/>
      <c r="G337" s="1366"/>
      <c r="H337" s="778"/>
      <c r="I337" s="1448">
        <f>SUM(J337:N337)</f>
        <v>3000</v>
      </c>
      <c r="J337" s="1105">
        <v>200</v>
      </c>
      <c r="K337" s="1105">
        <v>66</v>
      </c>
      <c r="L337" s="1105">
        <v>2734</v>
      </c>
      <c r="M337" s="1105"/>
      <c r="N337" s="1115">
        <v>0</v>
      </c>
      <c r="P337" s="790"/>
    </row>
    <row r="338" spans="1:16" s="789" customFormat="1" ht="18" customHeight="1" x14ac:dyDescent="0.3">
      <c r="A338" s="716">
        <v>330</v>
      </c>
      <c r="B338" s="775"/>
      <c r="C338" s="758"/>
      <c r="D338" s="792" t="s">
        <v>652</v>
      </c>
      <c r="E338" s="759"/>
      <c r="F338" s="759"/>
      <c r="G338" s="1366"/>
      <c r="H338" s="778"/>
      <c r="I338" s="299">
        <f>SUM(J338:Q338)</f>
        <v>0</v>
      </c>
      <c r="J338" s="1105"/>
      <c r="K338" s="1105"/>
      <c r="L338" s="1105"/>
      <c r="M338" s="776"/>
      <c r="N338" s="1115"/>
      <c r="P338" s="790"/>
    </row>
    <row r="339" spans="1:16" s="789" customFormat="1" ht="18" customHeight="1" x14ac:dyDescent="0.3">
      <c r="A339" s="716">
        <v>331</v>
      </c>
      <c r="B339" s="775"/>
      <c r="C339" s="758"/>
      <c r="D339" s="792" t="s">
        <v>858</v>
      </c>
      <c r="E339" s="759"/>
      <c r="F339" s="759"/>
      <c r="G339" s="1366"/>
      <c r="H339" s="778"/>
      <c r="I339" s="299">
        <f>SUM(J339:Q339)</f>
        <v>3000</v>
      </c>
      <c r="J339" s="1105">
        <f>SUM(J337:J338)</f>
        <v>200</v>
      </c>
      <c r="K339" s="1105">
        <f t="shared" ref="K339:N339" si="23">SUM(K337:K338)</f>
        <v>66</v>
      </c>
      <c r="L339" s="1105">
        <f t="shared" si="23"/>
        <v>2734</v>
      </c>
      <c r="M339" s="1105"/>
      <c r="N339" s="1115">
        <f t="shared" si="23"/>
        <v>0</v>
      </c>
      <c r="P339" s="790"/>
    </row>
    <row r="340" spans="1:16" s="789" customFormat="1" ht="18" customHeight="1" x14ac:dyDescent="0.3">
      <c r="A340" s="716">
        <v>332</v>
      </c>
      <c r="B340" s="775"/>
      <c r="C340" s="758"/>
      <c r="D340" s="131" t="s">
        <v>434</v>
      </c>
      <c r="E340" s="759"/>
      <c r="F340" s="736">
        <v>5000</v>
      </c>
      <c r="G340" s="736">
        <v>1090</v>
      </c>
      <c r="H340" s="778"/>
      <c r="I340" s="769"/>
      <c r="J340" s="776"/>
      <c r="K340" s="776"/>
      <c r="L340" s="776"/>
      <c r="M340" s="776"/>
      <c r="N340" s="767"/>
      <c r="P340" s="790"/>
    </row>
    <row r="341" spans="1:16" s="789" customFormat="1" ht="31.5" customHeight="1" x14ac:dyDescent="0.3">
      <c r="A341" s="716">
        <v>333</v>
      </c>
      <c r="B341" s="775"/>
      <c r="C341" s="758"/>
      <c r="D341" s="131" t="s">
        <v>840</v>
      </c>
      <c r="E341" s="759"/>
      <c r="F341" s="759"/>
      <c r="G341" s="736">
        <v>30000</v>
      </c>
      <c r="H341" s="778"/>
      <c r="I341" s="769"/>
      <c r="J341" s="776"/>
      <c r="K341" s="776"/>
      <c r="L341" s="776"/>
      <c r="M341" s="776"/>
      <c r="N341" s="767"/>
      <c r="P341" s="790"/>
    </row>
    <row r="342" spans="1:16" s="789" customFormat="1" ht="18" customHeight="1" x14ac:dyDescent="0.3">
      <c r="A342" s="716">
        <v>334</v>
      </c>
      <c r="B342" s="775"/>
      <c r="C342" s="758"/>
      <c r="D342" s="774" t="s">
        <v>245</v>
      </c>
      <c r="E342" s="759"/>
      <c r="F342" s="759"/>
      <c r="G342" s="1366"/>
      <c r="H342" s="778"/>
      <c r="I342" s="769">
        <f>SUM(J342:N342)</f>
        <v>30000</v>
      </c>
      <c r="J342" s="776"/>
      <c r="K342" s="776"/>
      <c r="L342" s="776"/>
      <c r="M342" s="776"/>
      <c r="N342" s="767">
        <v>30000</v>
      </c>
      <c r="P342" s="790"/>
    </row>
    <row r="343" spans="1:16" s="789" customFormat="1" ht="18" customHeight="1" x14ac:dyDescent="0.3">
      <c r="A343" s="716">
        <v>335</v>
      </c>
      <c r="B343" s="775"/>
      <c r="C343" s="758"/>
      <c r="D343" s="792" t="s">
        <v>810</v>
      </c>
      <c r="E343" s="759"/>
      <c r="F343" s="759"/>
      <c r="G343" s="1366"/>
      <c r="H343" s="778"/>
      <c r="I343" s="1448">
        <f>SUM(J343:N343)</f>
        <v>30000</v>
      </c>
      <c r="J343" s="1106"/>
      <c r="K343" s="1106"/>
      <c r="L343" s="1106"/>
      <c r="M343" s="1106"/>
      <c r="N343" s="1115">
        <v>30000</v>
      </c>
      <c r="P343" s="790"/>
    </row>
    <row r="344" spans="1:16" s="789" customFormat="1" ht="18" customHeight="1" x14ac:dyDescent="0.3">
      <c r="A344" s="716">
        <v>336</v>
      </c>
      <c r="B344" s="775"/>
      <c r="C344" s="758"/>
      <c r="D344" s="792" t="s">
        <v>652</v>
      </c>
      <c r="E344" s="759"/>
      <c r="F344" s="759"/>
      <c r="G344" s="1366"/>
      <c r="H344" s="778"/>
      <c r="I344" s="299">
        <f>SUM(J344:Q344)</f>
        <v>0</v>
      </c>
      <c r="J344" s="776"/>
      <c r="K344" s="776"/>
      <c r="L344" s="776"/>
      <c r="M344" s="776"/>
      <c r="N344" s="767"/>
      <c r="P344" s="790"/>
    </row>
    <row r="345" spans="1:16" s="789" customFormat="1" ht="18" customHeight="1" x14ac:dyDescent="0.3">
      <c r="A345" s="716">
        <v>337</v>
      </c>
      <c r="B345" s="775"/>
      <c r="C345" s="758"/>
      <c r="D345" s="792" t="s">
        <v>858</v>
      </c>
      <c r="E345" s="759"/>
      <c r="F345" s="759"/>
      <c r="G345" s="1366"/>
      <c r="H345" s="778"/>
      <c r="I345" s="299">
        <f>SUM(J345:Q345)</f>
        <v>30000</v>
      </c>
      <c r="J345" s="776"/>
      <c r="K345" s="776"/>
      <c r="L345" s="776"/>
      <c r="M345" s="776"/>
      <c r="N345" s="1115">
        <f>SUM(N343:N344)</f>
        <v>30000</v>
      </c>
      <c r="P345" s="790"/>
    </row>
    <row r="346" spans="1:16" s="789" customFormat="1" ht="18" customHeight="1" x14ac:dyDescent="0.3">
      <c r="A346" s="716">
        <v>338</v>
      </c>
      <c r="B346" s="775"/>
      <c r="C346" s="758"/>
      <c r="D346" s="131" t="s">
        <v>841</v>
      </c>
      <c r="E346" s="759"/>
      <c r="F346" s="759"/>
      <c r="G346" s="736">
        <v>20000</v>
      </c>
      <c r="H346" s="778"/>
      <c r="I346" s="769"/>
      <c r="J346" s="776"/>
      <c r="K346" s="776"/>
      <c r="L346" s="776"/>
      <c r="M346" s="776"/>
      <c r="N346" s="767"/>
      <c r="P346" s="790"/>
    </row>
    <row r="347" spans="1:16" s="789" customFormat="1" ht="18" customHeight="1" x14ac:dyDescent="0.3">
      <c r="A347" s="716">
        <v>339</v>
      </c>
      <c r="B347" s="775"/>
      <c r="C347" s="758"/>
      <c r="D347" s="774" t="s">
        <v>245</v>
      </c>
      <c r="E347" s="759"/>
      <c r="F347" s="759"/>
      <c r="G347" s="1366"/>
      <c r="H347" s="778"/>
      <c r="I347" s="769">
        <f>SUM(J347:N347)</f>
        <v>20000</v>
      </c>
      <c r="J347" s="776"/>
      <c r="K347" s="776"/>
      <c r="L347" s="776"/>
      <c r="M347" s="776"/>
      <c r="N347" s="767">
        <v>20000</v>
      </c>
      <c r="P347" s="790"/>
    </row>
    <row r="348" spans="1:16" s="789" customFormat="1" ht="18" customHeight="1" x14ac:dyDescent="0.3">
      <c r="A348" s="716">
        <v>340</v>
      </c>
      <c r="B348" s="775"/>
      <c r="C348" s="758"/>
      <c r="D348" s="792" t="s">
        <v>810</v>
      </c>
      <c r="E348" s="759"/>
      <c r="F348" s="759"/>
      <c r="G348" s="1366"/>
      <c r="H348" s="778"/>
      <c r="I348" s="1448">
        <f>SUM(J348:N348)</f>
        <v>20000</v>
      </c>
      <c r="J348" s="1106"/>
      <c r="K348" s="1106"/>
      <c r="L348" s="1106"/>
      <c r="M348" s="1106"/>
      <c r="N348" s="1115">
        <v>20000</v>
      </c>
      <c r="P348" s="790"/>
    </row>
    <row r="349" spans="1:16" s="789" customFormat="1" ht="18" customHeight="1" x14ac:dyDescent="0.3">
      <c r="A349" s="716">
        <v>341</v>
      </c>
      <c r="B349" s="775"/>
      <c r="C349" s="758"/>
      <c r="D349" s="792" t="s">
        <v>652</v>
      </c>
      <c r="E349" s="759"/>
      <c r="F349" s="759"/>
      <c r="G349" s="1366"/>
      <c r="H349" s="778"/>
      <c r="I349" s="299">
        <f>SUM(J349:Q349)</f>
        <v>0</v>
      </c>
      <c r="J349" s="776"/>
      <c r="K349" s="776"/>
      <c r="L349" s="776"/>
      <c r="M349" s="776"/>
      <c r="N349" s="767"/>
      <c r="P349" s="790"/>
    </row>
    <row r="350" spans="1:16" s="789" customFormat="1" ht="18" customHeight="1" x14ac:dyDescent="0.3">
      <c r="A350" s="716">
        <v>342</v>
      </c>
      <c r="B350" s="775"/>
      <c r="C350" s="758"/>
      <c r="D350" s="792" t="s">
        <v>858</v>
      </c>
      <c r="E350" s="759"/>
      <c r="F350" s="759"/>
      <c r="G350" s="1366"/>
      <c r="H350" s="778"/>
      <c r="I350" s="299">
        <f>SUM(J350:Q350)</f>
        <v>20000</v>
      </c>
      <c r="J350" s="776"/>
      <c r="K350" s="776"/>
      <c r="L350" s="776"/>
      <c r="M350" s="776"/>
      <c r="N350" s="1115">
        <f>SUM(N348:N349)</f>
        <v>20000</v>
      </c>
      <c r="P350" s="790"/>
    </row>
    <row r="351" spans="1:16" s="784" customFormat="1" ht="22.5" customHeight="1" x14ac:dyDescent="0.3">
      <c r="A351" s="716">
        <v>343</v>
      </c>
      <c r="B351" s="793"/>
      <c r="C351" s="745">
        <v>46</v>
      </c>
      <c r="D351" s="746" t="s">
        <v>287</v>
      </c>
      <c r="E351" s="736">
        <v>33000</v>
      </c>
      <c r="F351" s="736">
        <v>25000</v>
      </c>
      <c r="G351" s="737">
        <v>33000</v>
      </c>
      <c r="H351" s="738" t="s">
        <v>24</v>
      </c>
      <c r="I351" s="765"/>
      <c r="J351" s="766"/>
      <c r="K351" s="766"/>
      <c r="L351" s="766"/>
      <c r="M351" s="766"/>
      <c r="N351" s="767"/>
      <c r="P351" s="702"/>
    </row>
    <row r="352" spans="1:16" s="777" customFormat="1" ht="18" customHeight="1" x14ac:dyDescent="0.3">
      <c r="A352" s="716">
        <v>344</v>
      </c>
      <c r="B352" s="775"/>
      <c r="C352" s="758"/>
      <c r="D352" s="241" t="s">
        <v>245</v>
      </c>
      <c r="E352" s="759"/>
      <c r="F352" s="759"/>
      <c r="G352" s="1366"/>
      <c r="H352" s="778"/>
      <c r="I352" s="739">
        <f>SUM(J352:N352)</f>
        <v>35000</v>
      </c>
      <c r="J352" s="776"/>
      <c r="K352" s="776"/>
      <c r="L352" s="776"/>
      <c r="M352" s="776"/>
      <c r="N352" s="750">
        <v>35000</v>
      </c>
      <c r="P352" s="761"/>
    </row>
    <row r="353" spans="1:16" s="777" customFormat="1" ht="18" customHeight="1" x14ac:dyDescent="0.3">
      <c r="A353" s="716">
        <v>345</v>
      </c>
      <c r="B353" s="775"/>
      <c r="C353" s="758"/>
      <c r="D353" s="377" t="s">
        <v>810</v>
      </c>
      <c r="E353" s="759"/>
      <c r="F353" s="759"/>
      <c r="G353" s="1366"/>
      <c r="H353" s="778"/>
      <c r="I353" s="1446">
        <f>SUM(J353:N353)</f>
        <v>34000</v>
      </c>
      <c r="J353" s="1106"/>
      <c r="K353" s="1106"/>
      <c r="L353" s="1106"/>
      <c r="M353" s="1106"/>
      <c r="N353" s="1104">
        <v>34000</v>
      </c>
      <c r="P353" s="761"/>
    </row>
    <row r="354" spans="1:16" s="777" customFormat="1" ht="18" customHeight="1" x14ac:dyDescent="0.3">
      <c r="A354" s="716">
        <v>346</v>
      </c>
      <c r="B354" s="775"/>
      <c r="C354" s="758"/>
      <c r="D354" s="910" t="s">
        <v>909</v>
      </c>
      <c r="E354" s="759"/>
      <c r="F354" s="759"/>
      <c r="G354" s="1366"/>
      <c r="H354" s="778"/>
      <c r="I354" s="296">
        <f>SUM(J354:Q354)</f>
        <v>10000</v>
      </c>
      <c r="J354" s="1099"/>
      <c r="K354" s="1099"/>
      <c r="L354" s="1099"/>
      <c r="M354" s="1099"/>
      <c r="N354" s="1115">
        <v>10000</v>
      </c>
      <c r="P354" s="761"/>
    </row>
    <row r="355" spans="1:16" s="777" customFormat="1" ht="18" customHeight="1" x14ac:dyDescent="0.3">
      <c r="A355" s="716">
        <v>347</v>
      </c>
      <c r="B355" s="775"/>
      <c r="C355" s="758"/>
      <c r="D355" s="377" t="s">
        <v>858</v>
      </c>
      <c r="E355" s="759"/>
      <c r="F355" s="759"/>
      <c r="G355" s="1366"/>
      <c r="H355" s="778"/>
      <c r="I355" s="443">
        <f>SUM(J355:Q355)</f>
        <v>44000</v>
      </c>
      <c r="J355" s="776"/>
      <c r="K355" s="776"/>
      <c r="L355" s="776"/>
      <c r="M355" s="776"/>
      <c r="N355" s="1104">
        <f>SUM(N353:N354)</f>
        <v>44000</v>
      </c>
      <c r="P355" s="761"/>
    </row>
    <row r="356" spans="1:16" s="701" customFormat="1" ht="22.5" customHeight="1" x14ac:dyDescent="0.35">
      <c r="A356" s="716">
        <v>348</v>
      </c>
      <c r="B356" s="786"/>
      <c r="C356" s="745">
        <v>48</v>
      </c>
      <c r="D356" s="746" t="s">
        <v>229</v>
      </c>
      <c r="E356" s="736"/>
      <c r="F356" s="736">
        <v>100</v>
      </c>
      <c r="G356" s="737"/>
      <c r="H356" s="738" t="s">
        <v>23</v>
      </c>
      <c r="I356" s="739"/>
      <c r="J356" s="740"/>
      <c r="K356" s="740"/>
      <c r="L356" s="740"/>
      <c r="M356" s="740"/>
      <c r="N356" s="742"/>
      <c r="P356" s="702"/>
    </row>
    <row r="357" spans="1:16" s="761" customFormat="1" ht="18" customHeight="1" x14ac:dyDescent="0.3">
      <c r="A357" s="716">
        <v>349</v>
      </c>
      <c r="B357" s="757"/>
      <c r="C357" s="758"/>
      <c r="D357" s="241" t="s">
        <v>245</v>
      </c>
      <c r="E357" s="759"/>
      <c r="F357" s="759"/>
      <c r="G357" s="1366"/>
      <c r="H357" s="760"/>
      <c r="I357" s="739">
        <f>SUM(J357:N357)</f>
        <v>100</v>
      </c>
      <c r="J357" s="741"/>
      <c r="K357" s="741"/>
      <c r="L357" s="741"/>
      <c r="M357" s="741">
        <v>100</v>
      </c>
      <c r="N357" s="750"/>
    </row>
    <row r="358" spans="1:16" s="761" customFormat="1" ht="18" customHeight="1" x14ac:dyDescent="0.3">
      <c r="A358" s="716">
        <v>350</v>
      </c>
      <c r="B358" s="757"/>
      <c r="C358" s="758"/>
      <c r="D358" s="377" t="s">
        <v>810</v>
      </c>
      <c r="E358" s="759"/>
      <c r="F358" s="759"/>
      <c r="G358" s="1366"/>
      <c r="H358" s="795"/>
      <c r="I358" s="1446">
        <f>SUM(J358:N358)</f>
        <v>100</v>
      </c>
      <c r="J358" s="1099"/>
      <c r="K358" s="1099"/>
      <c r="L358" s="1099"/>
      <c r="M358" s="1099">
        <v>100</v>
      </c>
      <c r="N358" s="750"/>
    </row>
    <row r="359" spans="1:16" s="761" customFormat="1" ht="18" customHeight="1" x14ac:dyDescent="0.3">
      <c r="A359" s="716">
        <v>351</v>
      </c>
      <c r="B359" s="757"/>
      <c r="C359" s="758"/>
      <c r="D359" s="910" t="s">
        <v>652</v>
      </c>
      <c r="E359" s="759"/>
      <c r="F359" s="759"/>
      <c r="G359" s="1366"/>
      <c r="H359" s="795"/>
      <c r="I359" s="296">
        <f>SUM(J359:Q359)</f>
        <v>0</v>
      </c>
      <c r="J359" s="1105"/>
      <c r="K359" s="1105"/>
      <c r="L359" s="1105"/>
      <c r="M359" s="1105"/>
      <c r="N359" s="750"/>
    </row>
    <row r="360" spans="1:16" s="761" customFormat="1" ht="18" customHeight="1" x14ac:dyDescent="0.3">
      <c r="A360" s="716">
        <v>352</v>
      </c>
      <c r="B360" s="757"/>
      <c r="C360" s="758"/>
      <c r="D360" s="377" t="s">
        <v>858</v>
      </c>
      <c r="E360" s="759"/>
      <c r="F360" s="759"/>
      <c r="G360" s="1366"/>
      <c r="H360" s="795"/>
      <c r="I360" s="443">
        <f>SUM(J360:Q360)</f>
        <v>100</v>
      </c>
      <c r="J360" s="741"/>
      <c r="K360" s="741"/>
      <c r="L360" s="741"/>
      <c r="M360" s="1099">
        <f>SUM(M358:M359)</f>
        <v>100</v>
      </c>
      <c r="N360" s="750"/>
    </row>
    <row r="361" spans="1:16" s="702" customFormat="1" ht="22.5" customHeight="1" x14ac:dyDescent="0.3">
      <c r="A361" s="716">
        <v>353</v>
      </c>
      <c r="B361" s="794"/>
      <c r="C361" s="745">
        <v>49</v>
      </c>
      <c r="D361" s="727" t="s">
        <v>263</v>
      </c>
      <c r="E361" s="736"/>
      <c r="F361" s="736">
        <v>85</v>
      </c>
      <c r="G361" s="737">
        <v>13</v>
      </c>
      <c r="H361" s="729" t="s">
        <v>23</v>
      </c>
      <c r="I361" s="739"/>
      <c r="J361" s="740"/>
      <c r="K361" s="740"/>
      <c r="L361" s="740"/>
      <c r="M361" s="740"/>
      <c r="N361" s="742"/>
    </row>
    <row r="362" spans="1:16" s="761" customFormat="1" ht="18" customHeight="1" x14ac:dyDescent="0.3">
      <c r="A362" s="716">
        <v>354</v>
      </c>
      <c r="B362" s="757"/>
      <c r="C362" s="758"/>
      <c r="D362" s="241" t="s">
        <v>245</v>
      </c>
      <c r="E362" s="759"/>
      <c r="F362" s="759"/>
      <c r="G362" s="1366"/>
      <c r="H362" s="795"/>
      <c r="I362" s="739">
        <f>SUM(J362:N362)</f>
        <v>85</v>
      </c>
      <c r="J362" s="741"/>
      <c r="K362" s="741"/>
      <c r="L362" s="741"/>
      <c r="M362" s="741">
        <v>85</v>
      </c>
      <c r="N362" s="750"/>
    </row>
    <row r="363" spans="1:16" s="761" customFormat="1" ht="18" customHeight="1" x14ac:dyDescent="0.3">
      <c r="A363" s="716">
        <v>355</v>
      </c>
      <c r="B363" s="757"/>
      <c r="C363" s="758"/>
      <c r="D363" s="377" t="s">
        <v>810</v>
      </c>
      <c r="E363" s="759"/>
      <c r="F363" s="759"/>
      <c r="G363" s="1366"/>
      <c r="H363" s="795"/>
      <c r="I363" s="1446">
        <f>SUM(J363:N363)</f>
        <v>85</v>
      </c>
      <c r="J363" s="1099"/>
      <c r="K363" s="1099"/>
      <c r="L363" s="1099"/>
      <c r="M363" s="1099">
        <v>85</v>
      </c>
      <c r="N363" s="750"/>
    </row>
    <row r="364" spans="1:16" s="761" customFormat="1" ht="18" customHeight="1" x14ac:dyDescent="0.3">
      <c r="A364" s="716">
        <v>356</v>
      </c>
      <c r="B364" s="757"/>
      <c r="C364" s="758"/>
      <c r="D364" s="910" t="s">
        <v>652</v>
      </c>
      <c r="E364" s="759"/>
      <c r="F364" s="759"/>
      <c r="G364" s="1366"/>
      <c r="H364" s="795"/>
      <c r="I364" s="296">
        <f>SUM(J364:Q364)</f>
        <v>0</v>
      </c>
      <c r="J364" s="1105"/>
      <c r="K364" s="1105"/>
      <c r="L364" s="1105"/>
      <c r="M364" s="1105"/>
      <c r="N364" s="750"/>
    </row>
    <row r="365" spans="1:16" s="761" customFormat="1" ht="18" customHeight="1" x14ac:dyDescent="0.3">
      <c r="A365" s="716">
        <v>357</v>
      </c>
      <c r="B365" s="757"/>
      <c r="C365" s="758"/>
      <c r="D365" s="377" t="s">
        <v>858</v>
      </c>
      <c r="E365" s="759"/>
      <c r="F365" s="759"/>
      <c r="G365" s="1366"/>
      <c r="H365" s="795"/>
      <c r="I365" s="443">
        <f>SUM(J365:Q365)</f>
        <v>85</v>
      </c>
      <c r="J365" s="741"/>
      <c r="K365" s="741"/>
      <c r="L365" s="741"/>
      <c r="M365" s="1099">
        <f>SUM(M363:M364)</f>
        <v>85</v>
      </c>
      <c r="N365" s="750"/>
    </row>
    <row r="366" spans="1:16" s="701" customFormat="1" ht="22.5" customHeight="1" x14ac:dyDescent="0.35">
      <c r="A366" s="716">
        <v>358</v>
      </c>
      <c r="B366" s="786"/>
      <c r="C366" s="745">
        <v>50</v>
      </c>
      <c r="D366" s="746" t="s">
        <v>230</v>
      </c>
      <c r="E366" s="736">
        <f>SUM(E371,E382,E387,E392,E397,E402,E407,E412)+E377+E376</f>
        <v>10213</v>
      </c>
      <c r="F366" s="736">
        <f>SUM(F371,F382,F387,F392,F397,F402,F407,F412)+F377+F376+F417</f>
        <v>49510</v>
      </c>
      <c r="G366" s="736">
        <f>SUM(G371,G382,G387,G392,G397,G402,G407,G412)+G377+G376</f>
        <v>15255</v>
      </c>
      <c r="H366" s="738"/>
      <c r="I366" s="751"/>
      <c r="J366" s="752"/>
      <c r="K366" s="752"/>
      <c r="L366" s="752"/>
      <c r="M366" s="752"/>
      <c r="N366" s="753"/>
      <c r="O366" s="702"/>
      <c r="P366" s="702"/>
    </row>
    <row r="367" spans="1:16" s="761" customFormat="1" ht="18" customHeight="1" x14ac:dyDescent="0.3">
      <c r="A367" s="716">
        <v>359</v>
      </c>
      <c r="B367" s="757"/>
      <c r="C367" s="758"/>
      <c r="D367" s="241" t="s">
        <v>245</v>
      </c>
      <c r="E367" s="759"/>
      <c r="F367" s="759"/>
      <c r="G367" s="1366"/>
      <c r="H367" s="760"/>
      <c r="I367" s="739">
        <f>SUM(J367:N367)</f>
        <v>28100</v>
      </c>
      <c r="J367" s="741">
        <f>SUM(J372,J383,J388,J393,J398,J403,J408,J413)+J378</f>
        <v>0</v>
      </c>
      <c r="K367" s="741">
        <f t="shared" ref="K367:N367" si="24">SUM(K372,K383,K388,K393,K398,K403,K408,K413)+K378</f>
        <v>0</v>
      </c>
      <c r="L367" s="741">
        <f t="shared" si="24"/>
        <v>0</v>
      </c>
      <c r="M367" s="741">
        <f t="shared" si="24"/>
        <v>28100</v>
      </c>
      <c r="N367" s="750">
        <f t="shared" si="24"/>
        <v>0</v>
      </c>
    </row>
    <row r="368" spans="1:16" s="761" customFormat="1" ht="18" customHeight="1" x14ac:dyDescent="0.3">
      <c r="A368" s="716">
        <v>360</v>
      </c>
      <c r="B368" s="757"/>
      <c r="C368" s="758"/>
      <c r="D368" s="377" t="s">
        <v>810</v>
      </c>
      <c r="E368" s="759"/>
      <c r="F368" s="759"/>
      <c r="G368" s="1366"/>
      <c r="H368" s="760"/>
      <c r="I368" s="1446">
        <f>SUM(J368:N368)</f>
        <v>29600</v>
      </c>
      <c r="J368" s="1099">
        <f>SUM(J373,J384,J389,J394,J399,J404,J409,J414)+J379</f>
        <v>0</v>
      </c>
      <c r="K368" s="1099">
        <f t="shared" ref="K368:N368" si="25">SUM(K373,K384,K389,K394,K399,K404,K409,K414)+K379</f>
        <v>0</v>
      </c>
      <c r="L368" s="1099">
        <f t="shared" si="25"/>
        <v>0</v>
      </c>
      <c r="M368" s="1099">
        <f t="shared" si="25"/>
        <v>29600</v>
      </c>
      <c r="N368" s="1104">
        <f t="shared" si="25"/>
        <v>0</v>
      </c>
    </row>
    <row r="369" spans="1:16" s="761" customFormat="1" ht="18" customHeight="1" x14ac:dyDescent="0.3">
      <c r="A369" s="716">
        <v>361</v>
      </c>
      <c r="B369" s="757"/>
      <c r="C369" s="758"/>
      <c r="D369" s="910" t="s">
        <v>652</v>
      </c>
      <c r="E369" s="759"/>
      <c r="F369" s="759"/>
      <c r="G369" s="1366"/>
      <c r="H369" s="760"/>
      <c r="I369" s="296">
        <f>SUM(J369:Q369)</f>
        <v>2000</v>
      </c>
      <c r="J369" s="1105">
        <f>SUM(J374,J385,J390,J395,J400,J405,J410,J415)+J380</f>
        <v>0</v>
      </c>
      <c r="K369" s="1105">
        <f t="shared" ref="K369:N369" si="26">SUM(K374,K385,K390,K395,K400,K405,K410,K415)+K380</f>
        <v>0</v>
      </c>
      <c r="L369" s="1105">
        <f t="shared" si="26"/>
        <v>0</v>
      </c>
      <c r="M369" s="1105">
        <f t="shared" si="26"/>
        <v>2000</v>
      </c>
      <c r="N369" s="1115">
        <f t="shared" si="26"/>
        <v>0</v>
      </c>
    </row>
    <row r="370" spans="1:16" s="761" customFormat="1" ht="18" customHeight="1" x14ac:dyDescent="0.3">
      <c r="A370" s="716">
        <v>362</v>
      </c>
      <c r="B370" s="757"/>
      <c r="C370" s="758"/>
      <c r="D370" s="377" t="s">
        <v>858</v>
      </c>
      <c r="E370" s="759"/>
      <c r="F370" s="759"/>
      <c r="G370" s="1366"/>
      <c r="H370" s="760"/>
      <c r="I370" s="443">
        <f>SUM(J370:Q370)</f>
        <v>31600</v>
      </c>
      <c r="J370" s="1099">
        <f>SUM(J368:J369)</f>
        <v>0</v>
      </c>
      <c r="K370" s="1099">
        <f t="shared" ref="K370:N370" si="27">SUM(K368:K369)</f>
        <v>0</v>
      </c>
      <c r="L370" s="1099">
        <f t="shared" si="27"/>
        <v>0</v>
      </c>
      <c r="M370" s="1099">
        <f t="shared" si="27"/>
        <v>31600</v>
      </c>
      <c r="N370" s="1104">
        <f t="shared" si="27"/>
        <v>0</v>
      </c>
    </row>
    <row r="371" spans="1:16" s="787" customFormat="1" ht="18" customHeight="1" x14ac:dyDescent="0.3">
      <c r="A371" s="716">
        <v>363</v>
      </c>
      <c r="B371" s="762"/>
      <c r="C371" s="735"/>
      <c r="D371" s="131" t="s">
        <v>232</v>
      </c>
      <c r="E371" s="736">
        <v>2811</v>
      </c>
      <c r="F371" s="736">
        <v>3000</v>
      </c>
      <c r="G371" s="737">
        <v>5397</v>
      </c>
      <c r="H371" s="764" t="s">
        <v>23</v>
      </c>
      <c r="I371" s="765"/>
      <c r="J371" s="766"/>
      <c r="K371" s="766"/>
      <c r="L371" s="766"/>
      <c r="M371" s="766"/>
      <c r="N371" s="767"/>
      <c r="P371" s="788"/>
    </row>
    <row r="372" spans="1:16" s="789" customFormat="1" ht="18" customHeight="1" x14ac:dyDescent="0.3">
      <c r="A372" s="716">
        <v>364</v>
      </c>
      <c r="B372" s="775"/>
      <c r="C372" s="758"/>
      <c r="D372" s="774" t="s">
        <v>245</v>
      </c>
      <c r="E372" s="759"/>
      <c r="F372" s="759"/>
      <c r="G372" s="1366"/>
      <c r="H372" s="778"/>
      <c r="I372" s="769">
        <f>SUM(J372:N372)</f>
        <v>7990</v>
      </c>
      <c r="J372" s="776"/>
      <c r="K372" s="776"/>
      <c r="L372" s="776"/>
      <c r="M372" s="766">
        <f>5000+2990</f>
        <v>7990</v>
      </c>
      <c r="N372" s="796"/>
      <c r="P372" s="790"/>
    </row>
    <row r="373" spans="1:16" s="789" customFormat="1" ht="18" customHeight="1" x14ac:dyDescent="0.3">
      <c r="A373" s="716">
        <v>365</v>
      </c>
      <c r="B373" s="775"/>
      <c r="C373" s="758"/>
      <c r="D373" s="792" t="s">
        <v>810</v>
      </c>
      <c r="E373" s="759"/>
      <c r="F373" s="759"/>
      <c r="G373" s="1366"/>
      <c r="H373" s="778"/>
      <c r="I373" s="1448">
        <f>SUM(J373:N373)</f>
        <v>9490</v>
      </c>
      <c r="J373" s="1106"/>
      <c r="K373" s="1106"/>
      <c r="L373" s="1106"/>
      <c r="M373" s="1105">
        <v>9490</v>
      </c>
      <c r="N373" s="796"/>
      <c r="P373" s="790"/>
    </row>
    <row r="374" spans="1:16" s="789" customFormat="1" ht="18" customHeight="1" x14ac:dyDescent="0.3">
      <c r="A374" s="716">
        <v>366</v>
      </c>
      <c r="B374" s="775"/>
      <c r="C374" s="758"/>
      <c r="D374" s="792" t="s">
        <v>909</v>
      </c>
      <c r="E374" s="759"/>
      <c r="F374" s="759"/>
      <c r="G374" s="1366"/>
      <c r="H374" s="778"/>
      <c r="I374" s="296">
        <f>SUM(J374:Q374)</f>
        <v>2000</v>
      </c>
      <c r="J374" s="776"/>
      <c r="K374" s="776"/>
      <c r="L374" s="776"/>
      <c r="M374" s="1105">
        <v>2000</v>
      </c>
      <c r="N374" s="796"/>
      <c r="P374" s="790"/>
    </row>
    <row r="375" spans="1:16" s="789" customFormat="1" ht="18" customHeight="1" x14ac:dyDescent="0.3">
      <c r="A375" s="716">
        <v>367</v>
      </c>
      <c r="B375" s="775"/>
      <c r="C375" s="758"/>
      <c r="D375" s="792" t="s">
        <v>858</v>
      </c>
      <c r="E375" s="759"/>
      <c r="F375" s="759"/>
      <c r="G375" s="1366"/>
      <c r="H375" s="778"/>
      <c r="I375" s="299">
        <f>SUM(J375:Q375)</f>
        <v>11490</v>
      </c>
      <c r="J375" s="1105"/>
      <c r="K375" s="1105"/>
      <c r="L375" s="1105"/>
      <c r="M375" s="1105">
        <f>SUM(M373:M374)</f>
        <v>11490</v>
      </c>
      <c r="N375" s="796"/>
      <c r="P375" s="790"/>
    </row>
    <row r="376" spans="1:16" s="789" customFormat="1" ht="18" customHeight="1" x14ac:dyDescent="0.3">
      <c r="A376" s="716">
        <v>368</v>
      </c>
      <c r="B376" s="775"/>
      <c r="C376" s="758"/>
      <c r="D376" s="779" t="s">
        <v>341</v>
      </c>
      <c r="E376" s="736"/>
      <c r="F376" s="736"/>
      <c r="G376" s="737"/>
      <c r="H376" s="764" t="s">
        <v>24</v>
      </c>
      <c r="I376" s="769"/>
      <c r="J376" s="776"/>
      <c r="K376" s="776"/>
      <c r="L376" s="776"/>
      <c r="M376" s="766"/>
      <c r="N376" s="796"/>
      <c r="P376" s="790"/>
    </row>
    <row r="377" spans="1:16" s="787" customFormat="1" ht="18" customHeight="1" x14ac:dyDescent="0.3">
      <c r="A377" s="716">
        <v>369</v>
      </c>
      <c r="B377" s="762"/>
      <c r="C377" s="735"/>
      <c r="D377" s="779" t="s">
        <v>305</v>
      </c>
      <c r="E377" s="736">
        <v>730</v>
      </c>
      <c r="F377" s="736">
        <v>3000</v>
      </c>
      <c r="G377" s="737">
        <v>1110</v>
      </c>
      <c r="H377" s="764" t="s">
        <v>24</v>
      </c>
      <c r="I377" s="769"/>
      <c r="J377" s="766"/>
      <c r="K377" s="766"/>
      <c r="L377" s="766"/>
      <c r="M377" s="766"/>
      <c r="N377" s="767"/>
      <c r="P377" s="788"/>
    </row>
    <row r="378" spans="1:16" s="789" customFormat="1" ht="18" customHeight="1" x14ac:dyDescent="0.3">
      <c r="A378" s="716">
        <v>370</v>
      </c>
      <c r="B378" s="775"/>
      <c r="C378" s="758"/>
      <c r="D378" s="774" t="s">
        <v>245</v>
      </c>
      <c r="E378" s="759"/>
      <c r="F378" s="759"/>
      <c r="G378" s="1366"/>
      <c r="H378" s="778"/>
      <c r="I378" s="769">
        <f>SUM(J378:N378)</f>
        <v>2000</v>
      </c>
      <c r="J378" s="1106"/>
      <c r="K378" s="1106"/>
      <c r="L378" s="1106"/>
      <c r="M378" s="766">
        <v>2000</v>
      </c>
      <c r="N378" s="796"/>
      <c r="P378" s="790"/>
    </row>
    <row r="379" spans="1:16" s="789" customFormat="1" ht="18" customHeight="1" x14ac:dyDescent="0.3">
      <c r="A379" s="716">
        <v>371</v>
      </c>
      <c r="B379" s="775"/>
      <c r="C379" s="758"/>
      <c r="D379" s="792" t="s">
        <v>810</v>
      </c>
      <c r="E379" s="759"/>
      <c r="F379" s="759"/>
      <c r="G379" s="1366"/>
      <c r="H379" s="778"/>
      <c r="I379" s="1448">
        <f>SUM(J379:N379)</f>
        <v>2000</v>
      </c>
      <c r="J379" s="1106"/>
      <c r="K379" s="1106"/>
      <c r="L379" s="1106"/>
      <c r="M379" s="1105">
        <v>2000</v>
      </c>
      <c r="N379" s="796"/>
      <c r="P379" s="790"/>
    </row>
    <row r="380" spans="1:16" s="789" customFormat="1" ht="18" customHeight="1" x14ac:dyDescent="0.3">
      <c r="A380" s="716">
        <v>372</v>
      </c>
      <c r="B380" s="775"/>
      <c r="C380" s="758"/>
      <c r="D380" s="792" t="s">
        <v>652</v>
      </c>
      <c r="E380" s="759"/>
      <c r="F380" s="759"/>
      <c r="G380" s="1366"/>
      <c r="H380" s="778"/>
      <c r="I380" s="296">
        <f>SUM(J380:Q380)</f>
        <v>0</v>
      </c>
      <c r="J380" s="776"/>
      <c r="K380" s="776"/>
      <c r="L380" s="776"/>
      <c r="M380" s="766"/>
      <c r="N380" s="796"/>
      <c r="P380" s="790"/>
    </row>
    <row r="381" spans="1:16" s="789" customFormat="1" ht="18" customHeight="1" x14ac:dyDescent="0.3">
      <c r="A381" s="716">
        <v>373</v>
      </c>
      <c r="B381" s="775"/>
      <c r="C381" s="758"/>
      <c r="D381" s="792" t="s">
        <v>858</v>
      </c>
      <c r="E381" s="759"/>
      <c r="F381" s="759"/>
      <c r="G381" s="1366"/>
      <c r="H381" s="778"/>
      <c r="I381" s="299">
        <f>SUM(J381:Q381)</f>
        <v>2000</v>
      </c>
      <c r="J381" s="1105"/>
      <c r="K381" s="1105"/>
      <c r="L381" s="1105"/>
      <c r="M381" s="1105">
        <f>SUM(M379:M380)</f>
        <v>2000</v>
      </c>
      <c r="N381" s="796"/>
      <c r="P381" s="790"/>
    </row>
    <row r="382" spans="1:16" s="787" customFormat="1" ht="18" customHeight="1" x14ac:dyDescent="0.3">
      <c r="A382" s="716">
        <v>374</v>
      </c>
      <c r="B382" s="762"/>
      <c r="C382" s="735"/>
      <c r="D382" s="779" t="s">
        <v>264</v>
      </c>
      <c r="E382" s="736">
        <v>5045</v>
      </c>
      <c r="F382" s="736">
        <v>8000</v>
      </c>
      <c r="G382" s="737">
        <v>5075</v>
      </c>
      <c r="H382" s="764" t="s">
        <v>24</v>
      </c>
      <c r="I382" s="791"/>
      <c r="J382" s="771"/>
      <c r="K382" s="771"/>
      <c r="L382" s="771"/>
      <c r="M382" s="771"/>
      <c r="N382" s="772"/>
      <c r="P382" s="788"/>
    </row>
    <row r="383" spans="1:16" s="789" customFormat="1" ht="18" customHeight="1" x14ac:dyDescent="0.3">
      <c r="A383" s="716">
        <v>375</v>
      </c>
      <c r="B383" s="775"/>
      <c r="C383" s="758"/>
      <c r="D383" s="774" t="s">
        <v>245</v>
      </c>
      <c r="E383" s="759"/>
      <c r="F383" s="759"/>
      <c r="G383" s="1366"/>
      <c r="H383" s="778"/>
      <c r="I383" s="769">
        <f>SUM(J383:N383)</f>
        <v>8000</v>
      </c>
      <c r="J383" s="776"/>
      <c r="K383" s="776"/>
      <c r="L383" s="776"/>
      <c r="M383" s="766">
        <v>8000</v>
      </c>
      <c r="N383" s="796"/>
      <c r="P383" s="790"/>
    </row>
    <row r="384" spans="1:16" s="789" customFormat="1" ht="18" customHeight="1" x14ac:dyDescent="0.3">
      <c r="A384" s="716">
        <v>376</v>
      </c>
      <c r="B384" s="775"/>
      <c r="C384" s="758"/>
      <c r="D384" s="792" t="s">
        <v>810</v>
      </c>
      <c r="E384" s="759"/>
      <c r="F384" s="759"/>
      <c r="G384" s="1366"/>
      <c r="H384" s="778"/>
      <c r="I384" s="1448">
        <f>SUM(J384:N384)</f>
        <v>8000</v>
      </c>
      <c r="J384" s="1106"/>
      <c r="K384" s="1106"/>
      <c r="L384" s="1106"/>
      <c r="M384" s="1105">
        <v>8000</v>
      </c>
      <c r="N384" s="796"/>
      <c r="P384" s="790"/>
    </row>
    <row r="385" spans="1:16" s="789" customFormat="1" ht="18" customHeight="1" x14ac:dyDescent="0.3">
      <c r="A385" s="716">
        <v>377</v>
      </c>
      <c r="B385" s="775"/>
      <c r="C385" s="758"/>
      <c r="D385" s="792" t="s">
        <v>652</v>
      </c>
      <c r="E385" s="759"/>
      <c r="F385" s="759"/>
      <c r="G385" s="1366"/>
      <c r="H385" s="778"/>
      <c r="I385" s="296">
        <f>SUM(J385:Q385)</f>
        <v>0</v>
      </c>
      <c r="J385" s="776"/>
      <c r="K385" s="776"/>
      <c r="L385" s="776"/>
      <c r="M385" s="766"/>
      <c r="N385" s="796"/>
      <c r="P385" s="790"/>
    </row>
    <row r="386" spans="1:16" s="789" customFormat="1" ht="18" customHeight="1" x14ac:dyDescent="0.3">
      <c r="A386" s="716">
        <v>378</v>
      </c>
      <c r="B386" s="775"/>
      <c r="C386" s="758"/>
      <c r="D386" s="792" t="s">
        <v>858</v>
      </c>
      <c r="E386" s="759"/>
      <c r="F386" s="759"/>
      <c r="G386" s="1366"/>
      <c r="H386" s="778"/>
      <c r="I386" s="299">
        <f>SUM(J386:Q386)</f>
        <v>8000</v>
      </c>
      <c r="J386" s="1105"/>
      <c r="K386" s="1105"/>
      <c r="L386" s="1105"/>
      <c r="M386" s="1105">
        <f>SUM(M384:M385)</f>
        <v>8000</v>
      </c>
      <c r="N386" s="796"/>
      <c r="P386" s="790"/>
    </row>
    <row r="387" spans="1:16" s="787" customFormat="1" ht="18" customHeight="1" x14ac:dyDescent="0.3">
      <c r="A387" s="716">
        <v>379</v>
      </c>
      <c r="B387" s="762"/>
      <c r="C387" s="735"/>
      <c r="D387" s="779" t="s">
        <v>265</v>
      </c>
      <c r="E387" s="736"/>
      <c r="F387" s="736">
        <v>100</v>
      </c>
      <c r="G387" s="737"/>
      <c r="H387" s="764" t="s">
        <v>24</v>
      </c>
      <c r="I387" s="791"/>
      <c r="J387" s="771"/>
      <c r="K387" s="771"/>
      <c r="L387" s="771"/>
      <c r="M387" s="771"/>
      <c r="N387" s="772"/>
      <c r="P387" s="788"/>
    </row>
    <row r="388" spans="1:16" s="789" customFormat="1" ht="18" customHeight="1" x14ac:dyDescent="0.3">
      <c r="A388" s="716">
        <v>380</v>
      </c>
      <c r="B388" s="775"/>
      <c r="C388" s="758"/>
      <c r="D388" s="774" t="s">
        <v>245</v>
      </c>
      <c r="E388" s="759"/>
      <c r="F388" s="759"/>
      <c r="G388" s="1366"/>
      <c r="H388" s="778"/>
      <c r="I388" s="769">
        <f>SUM(J388:N388)</f>
        <v>100</v>
      </c>
      <c r="J388" s="776"/>
      <c r="K388" s="776"/>
      <c r="L388" s="776"/>
      <c r="M388" s="766">
        <v>100</v>
      </c>
      <c r="N388" s="796"/>
      <c r="P388" s="790"/>
    </row>
    <row r="389" spans="1:16" s="789" customFormat="1" ht="18" customHeight="1" x14ac:dyDescent="0.3">
      <c r="A389" s="716">
        <v>381</v>
      </c>
      <c r="B389" s="775"/>
      <c r="C389" s="758"/>
      <c r="D389" s="792" t="s">
        <v>810</v>
      </c>
      <c r="E389" s="759"/>
      <c r="F389" s="759"/>
      <c r="G389" s="1366"/>
      <c r="H389" s="778"/>
      <c r="I389" s="1448">
        <f>SUM(J389:N389)</f>
        <v>100</v>
      </c>
      <c r="J389" s="1106"/>
      <c r="K389" s="1106"/>
      <c r="L389" s="1106"/>
      <c r="M389" s="1105">
        <v>100</v>
      </c>
      <c r="N389" s="796"/>
      <c r="P389" s="790"/>
    </row>
    <row r="390" spans="1:16" s="789" customFormat="1" ht="18" customHeight="1" x14ac:dyDescent="0.3">
      <c r="A390" s="716">
        <v>382</v>
      </c>
      <c r="B390" s="775"/>
      <c r="C390" s="758"/>
      <c r="D390" s="792" t="s">
        <v>652</v>
      </c>
      <c r="E390" s="759"/>
      <c r="F390" s="759"/>
      <c r="G390" s="1366"/>
      <c r="H390" s="778"/>
      <c r="I390" s="296">
        <f>SUM(J390:Q390)</f>
        <v>0</v>
      </c>
      <c r="J390" s="776"/>
      <c r="K390" s="776"/>
      <c r="L390" s="776"/>
      <c r="M390" s="766"/>
      <c r="N390" s="796"/>
      <c r="P390" s="790"/>
    </row>
    <row r="391" spans="1:16" s="789" customFormat="1" ht="18" customHeight="1" x14ac:dyDescent="0.3">
      <c r="A391" s="716">
        <v>383</v>
      </c>
      <c r="B391" s="775"/>
      <c r="C391" s="758"/>
      <c r="D391" s="792" t="s">
        <v>858</v>
      </c>
      <c r="E391" s="759"/>
      <c r="F391" s="759"/>
      <c r="G391" s="1366"/>
      <c r="H391" s="778"/>
      <c r="I391" s="299">
        <f>SUM(J391:Q391)</f>
        <v>100</v>
      </c>
      <c r="J391" s="1105"/>
      <c r="K391" s="1105"/>
      <c r="L391" s="1105"/>
      <c r="M391" s="1105">
        <f>SUM(M389:M390)</f>
        <v>100</v>
      </c>
      <c r="N391" s="796"/>
      <c r="P391" s="790"/>
    </row>
    <row r="392" spans="1:16" s="787" customFormat="1" ht="18" customHeight="1" x14ac:dyDescent="0.3">
      <c r="A392" s="716">
        <v>384</v>
      </c>
      <c r="B392" s="762"/>
      <c r="C392" s="735"/>
      <c r="D392" s="779" t="s">
        <v>266</v>
      </c>
      <c r="E392" s="736">
        <v>345</v>
      </c>
      <c r="F392" s="736">
        <v>2000</v>
      </c>
      <c r="G392" s="737">
        <v>2035</v>
      </c>
      <c r="H392" s="764" t="s">
        <v>24</v>
      </c>
      <c r="I392" s="791"/>
      <c r="J392" s="771"/>
      <c r="K392" s="771"/>
      <c r="L392" s="771"/>
      <c r="M392" s="771"/>
      <c r="N392" s="772"/>
      <c r="P392" s="788"/>
    </row>
    <row r="393" spans="1:16" s="789" customFormat="1" ht="18" customHeight="1" x14ac:dyDescent="0.3">
      <c r="A393" s="716">
        <v>385</v>
      </c>
      <c r="B393" s="775"/>
      <c r="C393" s="758"/>
      <c r="D393" s="774" t="s">
        <v>245</v>
      </c>
      <c r="E393" s="759"/>
      <c r="F393" s="759"/>
      <c r="G393" s="1366"/>
      <c r="H393" s="778"/>
      <c r="I393" s="769">
        <f>SUM(J393:N393)</f>
        <v>6000</v>
      </c>
      <c r="J393" s="776"/>
      <c r="K393" s="776"/>
      <c r="L393" s="776"/>
      <c r="M393" s="766">
        <f>4000+2000</f>
        <v>6000</v>
      </c>
      <c r="N393" s="796"/>
      <c r="P393" s="790"/>
    </row>
    <row r="394" spans="1:16" s="789" customFormat="1" ht="18" customHeight="1" x14ac:dyDescent="0.3">
      <c r="A394" s="716">
        <v>386</v>
      </c>
      <c r="B394" s="775"/>
      <c r="C394" s="758"/>
      <c r="D394" s="792" t="s">
        <v>810</v>
      </c>
      <c r="E394" s="759"/>
      <c r="F394" s="759"/>
      <c r="G394" s="1366"/>
      <c r="H394" s="778"/>
      <c r="I394" s="1448">
        <f>SUM(J394:N394)</f>
        <v>6000</v>
      </c>
      <c r="J394" s="1106"/>
      <c r="K394" s="1106"/>
      <c r="L394" s="1106"/>
      <c r="M394" s="1105">
        <v>6000</v>
      </c>
      <c r="N394" s="796"/>
      <c r="P394" s="790"/>
    </row>
    <row r="395" spans="1:16" s="789" customFormat="1" ht="18" customHeight="1" x14ac:dyDescent="0.3">
      <c r="A395" s="716">
        <v>387</v>
      </c>
      <c r="B395" s="775"/>
      <c r="C395" s="758"/>
      <c r="D395" s="792" t="s">
        <v>652</v>
      </c>
      <c r="E395" s="759"/>
      <c r="F395" s="759"/>
      <c r="G395" s="1366"/>
      <c r="H395" s="778"/>
      <c r="I395" s="296">
        <f>SUM(J395:Q395)</f>
        <v>0</v>
      </c>
      <c r="J395" s="776"/>
      <c r="K395" s="776"/>
      <c r="L395" s="776"/>
      <c r="M395" s="766"/>
      <c r="N395" s="796"/>
      <c r="P395" s="790"/>
    </row>
    <row r="396" spans="1:16" s="789" customFormat="1" ht="18" customHeight="1" x14ac:dyDescent="0.3">
      <c r="A396" s="716">
        <v>388</v>
      </c>
      <c r="B396" s="775"/>
      <c r="C396" s="758"/>
      <c r="D396" s="792" t="s">
        <v>858</v>
      </c>
      <c r="E396" s="759"/>
      <c r="F396" s="759"/>
      <c r="G396" s="1366"/>
      <c r="H396" s="778"/>
      <c r="I396" s="299">
        <f>SUM(J396:Q396)</f>
        <v>6000</v>
      </c>
      <c r="J396" s="1105"/>
      <c r="K396" s="1105"/>
      <c r="L396" s="1105"/>
      <c r="M396" s="1105">
        <f>SUM(M394:M395)</f>
        <v>6000</v>
      </c>
      <c r="N396" s="796"/>
      <c r="P396" s="790"/>
    </row>
    <row r="397" spans="1:16" s="787" customFormat="1" ht="18" customHeight="1" x14ac:dyDescent="0.3">
      <c r="A397" s="716">
        <v>389</v>
      </c>
      <c r="B397" s="762"/>
      <c r="C397" s="735"/>
      <c r="D397" s="779" t="s">
        <v>267</v>
      </c>
      <c r="E397" s="736">
        <v>109</v>
      </c>
      <c r="F397" s="736">
        <v>500</v>
      </c>
      <c r="G397" s="737">
        <v>57</v>
      </c>
      <c r="H397" s="764" t="s">
        <v>24</v>
      </c>
      <c r="I397" s="791"/>
      <c r="J397" s="771"/>
      <c r="K397" s="771"/>
      <c r="L397" s="771"/>
      <c r="M397" s="771"/>
      <c r="N397" s="772"/>
      <c r="P397" s="788"/>
    </row>
    <row r="398" spans="1:16" s="789" customFormat="1" ht="18" customHeight="1" x14ac:dyDescent="0.3">
      <c r="A398" s="716">
        <v>390</v>
      </c>
      <c r="B398" s="775"/>
      <c r="C398" s="758"/>
      <c r="D398" s="774" t="s">
        <v>245</v>
      </c>
      <c r="E398" s="759"/>
      <c r="F398" s="759"/>
      <c r="G398" s="1366"/>
      <c r="H398" s="778"/>
      <c r="I398" s="769">
        <f>SUM(J398:N398)</f>
        <v>500</v>
      </c>
      <c r="J398" s="776"/>
      <c r="K398" s="776"/>
      <c r="L398" s="776"/>
      <c r="M398" s="766">
        <v>500</v>
      </c>
      <c r="N398" s="796"/>
      <c r="P398" s="790"/>
    </row>
    <row r="399" spans="1:16" s="789" customFormat="1" ht="18" customHeight="1" x14ac:dyDescent="0.3">
      <c r="A399" s="716">
        <v>391</v>
      </c>
      <c r="B399" s="775"/>
      <c r="C399" s="758"/>
      <c r="D399" s="792" t="s">
        <v>810</v>
      </c>
      <c r="E399" s="759"/>
      <c r="F399" s="759"/>
      <c r="G399" s="1366"/>
      <c r="H399" s="778"/>
      <c r="I399" s="1448">
        <f>SUM(J399:N399)</f>
        <v>500</v>
      </c>
      <c r="J399" s="1106"/>
      <c r="K399" s="1106"/>
      <c r="L399" s="1106"/>
      <c r="M399" s="1105">
        <v>500</v>
      </c>
      <c r="N399" s="796"/>
      <c r="P399" s="790"/>
    </row>
    <row r="400" spans="1:16" s="789" customFormat="1" ht="18" customHeight="1" x14ac:dyDescent="0.3">
      <c r="A400" s="716">
        <v>392</v>
      </c>
      <c r="B400" s="775"/>
      <c r="C400" s="758"/>
      <c r="D400" s="792" t="s">
        <v>652</v>
      </c>
      <c r="E400" s="759"/>
      <c r="F400" s="759"/>
      <c r="G400" s="1366"/>
      <c r="H400" s="778"/>
      <c r="I400" s="296">
        <f>SUM(J400:Q400)</f>
        <v>0</v>
      </c>
      <c r="J400" s="776"/>
      <c r="K400" s="776"/>
      <c r="L400" s="776"/>
      <c r="M400" s="766"/>
      <c r="N400" s="796"/>
      <c r="P400" s="790"/>
    </row>
    <row r="401" spans="1:16" s="789" customFormat="1" ht="18" customHeight="1" x14ac:dyDescent="0.3">
      <c r="A401" s="716">
        <v>393</v>
      </c>
      <c r="B401" s="775"/>
      <c r="C401" s="758"/>
      <c r="D401" s="792" t="s">
        <v>858</v>
      </c>
      <c r="E401" s="759"/>
      <c r="F401" s="759"/>
      <c r="G401" s="1366"/>
      <c r="H401" s="778"/>
      <c r="I401" s="299">
        <f>SUM(J401:Q401)</f>
        <v>500</v>
      </c>
      <c r="J401" s="1105"/>
      <c r="K401" s="1105"/>
      <c r="L401" s="1105"/>
      <c r="M401" s="1105">
        <f>SUM(M399:M400)</f>
        <v>500</v>
      </c>
      <c r="N401" s="796"/>
      <c r="P401" s="790"/>
    </row>
    <row r="402" spans="1:16" s="787" customFormat="1" ht="18" customHeight="1" x14ac:dyDescent="0.3">
      <c r="A402" s="716">
        <v>394</v>
      </c>
      <c r="B402" s="762"/>
      <c r="C402" s="735"/>
      <c r="D402" s="779" t="s">
        <v>268</v>
      </c>
      <c r="E402" s="736">
        <v>945</v>
      </c>
      <c r="F402" s="736">
        <v>2000</v>
      </c>
      <c r="G402" s="737">
        <v>1290</v>
      </c>
      <c r="H402" s="764" t="s">
        <v>24</v>
      </c>
      <c r="I402" s="791"/>
      <c r="J402" s="771"/>
      <c r="K402" s="771"/>
      <c r="L402" s="771"/>
      <c r="M402" s="771"/>
      <c r="N402" s="772"/>
      <c r="P402" s="788"/>
    </row>
    <row r="403" spans="1:16" s="789" customFormat="1" ht="18" customHeight="1" x14ac:dyDescent="0.3">
      <c r="A403" s="716">
        <v>395</v>
      </c>
      <c r="B403" s="775"/>
      <c r="C403" s="758"/>
      <c r="D403" s="774" t="s">
        <v>245</v>
      </c>
      <c r="E403" s="759"/>
      <c r="F403" s="759"/>
      <c r="G403" s="1366"/>
      <c r="H403" s="778"/>
      <c r="I403" s="769">
        <f>SUM(J403:N403)</f>
        <v>2000</v>
      </c>
      <c r="J403" s="776"/>
      <c r="K403" s="776"/>
      <c r="L403" s="776"/>
      <c r="M403" s="766">
        <v>2000</v>
      </c>
      <c r="N403" s="796"/>
      <c r="P403" s="790"/>
    </row>
    <row r="404" spans="1:16" s="789" customFormat="1" ht="18" customHeight="1" x14ac:dyDescent="0.3">
      <c r="A404" s="716">
        <v>396</v>
      </c>
      <c r="B404" s="775"/>
      <c r="C404" s="758"/>
      <c r="D404" s="792" t="s">
        <v>810</v>
      </c>
      <c r="E404" s="759"/>
      <c r="F404" s="759"/>
      <c r="G404" s="1366"/>
      <c r="H404" s="778"/>
      <c r="I404" s="1448">
        <f>SUM(J404:N404)</f>
        <v>2000</v>
      </c>
      <c r="J404" s="1106"/>
      <c r="K404" s="1106"/>
      <c r="L404" s="1106"/>
      <c r="M404" s="1105">
        <v>2000</v>
      </c>
      <c r="N404" s="796"/>
      <c r="P404" s="790"/>
    </row>
    <row r="405" spans="1:16" s="789" customFormat="1" ht="18" customHeight="1" x14ac:dyDescent="0.3">
      <c r="A405" s="716">
        <v>397</v>
      </c>
      <c r="B405" s="775"/>
      <c r="C405" s="758"/>
      <c r="D405" s="792" t="s">
        <v>652</v>
      </c>
      <c r="E405" s="759"/>
      <c r="F405" s="759"/>
      <c r="G405" s="1366"/>
      <c r="H405" s="778"/>
      <c r="I405" s="296">
        <f>SUM(J405:Q405)</f>
        <v>0</v>
      </c>
      <c r="J405" s="776"/>
      <c r="K405" s="776"/>
      <c r="L405" s="776"/>
      <c r="M405" s="766"/>
      <c r="N405" s="796"/>
      <c r="P405" s="790"/>
    </row>
    <row r="406" spans="1:16" s="789" customFormat="1" ht="18" customHeight="1" x14ac:dyDescent="0.3">
      <c r="A406" s="716">
        <v>398</v>
      </c>
      <c r="B406" s="775"/>
      <c r="C406" s="758"/>
      <c r="D406" s="792" t="s">
        <v>858</v>
      </c>
      <c r="E406" s="759"/>
      <c r="F406" s="759"/>
      <c r="G406" s="1366"/>
      <c r="H406" s="778"/>
      <c r="I406" s="299">
        <f>SUM(J406:Q406)</f>
        <v>2000</v>
      </c>
      <c r="J406" s="1105"/>
      <c r="K406" s="1105"/>
      <c r="L406" s="1105"/>
      <c r="M406" s="1105">
        <f>SUM(M404:M405)</f>
        <v>2000</v>
      </c>
      <c r="N406" s="796"/>
      <c r="P406" s="790"/>
    </row>
    <row r="407" spans="1:16" s="787" customFormat="1" ht="18" customHeight="1" x14ac:dyDescent="0.3">
      <c r="A407" s="716">
        <v>399</v>
      </c>
      <c r="B407" s="762"/>
      <c r="C407" s="735"/>
      <c r="D407" s="779" t="s">
        <v>269</v>
      </c>
      <c r="E407" s="736"/>
      <c r="F407" s="736">
        <v>400</v>
      </c>
      <c r="G407" s="737"/>
      <c r="H407" s="764" t="s">
        <v>24</v>
      </c>
      <c r="I407" s="791"/>
      <c r="J407" s="771"/>
      <c r="K407" s="771"/>
      <c r="L407" s="771"/>
      <c r="M407" s="771"/>
      <c r="N407" s="772"/>
      <c r="P407" s="788"/>
    </row>
    <row r="408" spans="1:16" s="789" customFormat="1" ht="18" customHeight="1" x14ac:dyDescent="0.3">
      <c r="A408" s="716">
        <v>400</v>
      </c>
      <c r="B408" s="775"/>
      <c r="C408" s="758"/>
      <c r="D408" s="774" t="s">
        <v>245</v>
      </c>
      <c r="E408" s="759"/>
      <c r="F408" s="759"/>
      <c r="G408" s="1366"/>
      <c r="H408" s="778"/>
      <c r="I408" s="769">
        <f>SUM(J408:N408)</f>
        <v>1000</v>
      </c>
      <c r="J408" s="776"/>
      <c r="K408" s="776"/>
      <c r="L408" s="776"/>
      <c r="M408" s="766">
        <f>400+600</f>
        <v>1000</v>
      </c>
      <c r="N408" s="796"/>
      <c r="P408" s="790"/>
    </row>
    <row r="409" spans="1:16" s="789" customFormat="1" ht="18" customHeight="1" x14ac:dyDescent="0.3">
      <c r="A409" s="716">
        <v>401</v>
      </c>
      <c r="B409" s="775"/>
      <c r="C409" s="758"/>
      <c r="D409" s="792" t="s">
        <v>810</v>
      </c>
      <c r="E409" s="759"/>
      <c r="F409" s="759"/>
      <c r="G409" s="1366"/>
      <c r="H409" s="778"/>
      <c r="I409" s="1448">
        <f>SUM(J409:N409)</f>
        <v>1000</v>
      </c>
      <c r="J409" s="1106"/>
      <c r="K409" s="1106"/>
      <c r="L409" s="1106"/>
      <c r="M409" s="1105">
        <v>1000</v>
      </c>
      <c r="N409" s="796"/>
      <c r="P409" s="790"/>
    </row>
    <row r="410" spans="1:16" s="789" customFormat="1" ht="18" customHeight="1" x14ac:dyDescent="0.3">
      <c r="A410" s="716">
        <v>402</v>
      </c>
      <c r="B410" s="775"/>
      <c r="C410" s="758"/>
      <c r="D410" s="792" t="s">
        <v>652</v>
      </c>
      <c r="E410" s="759"/>
      <c r="F410" s="759"/>
      <c r="G410" s="1366"/>
      <c r="H410" s="778"/>
      <c r="I410" s="296">
        <f>SUM(J410:Q410)</f>
        <v>0</v>
      </c>
      <c r="J410" s="776"/>
      <c r="K410" s="776"/>
      <c r="L410" s="776"/>
      <c r="M410" s="766"/>
      <c r="N410" s="796"/>
      <c r="P410" s="790"/>
    </row>
    <row r="411" spans="1:16" s="789" customFormat="1" ht="18" customHeight="1" x14ac:dyDescent="0.3">
      <c r="A411" s="716">
        <v>403</v>
      </c>
      <c r="B411" s="775"/>
      <c r="C411" s="758"/>
      <c r="D411" s="792" t="s">
        <v>858</v>
      </c>
      <c r="E411" s="759"/>
      <c r="F411" s="759"/>
      <c r="G411" s="1366"/>
      <c r="H411" s="778"/>
      <c r="I411" s="299">
        <f>SUM(J411:Q411)</f>
        <v>1000</v>
      </c>
      <c r="J411" s="1105"/>
      <c r="K411" s="1105"/>
      <c r="L411" s="1105"/>
      <c r="M411" s="1105">
        <f>SUM(M409:M410)</f>
        <v>1000</v>
      </c>
      <c r="N411" s="796"/>
      <c r="P411" s="790"/>
    </row>
    <row r="412" spans="1:16" s="787" customFormat="1" ht="18" customHeight="1" x14ac:dyDescent="0.3">
      <c r="A412" s="716">
        <v>404</v>
      </c>
      <c r="B412" s="762"/>
      <c r="C412" s="735"/>
      <c r="D412" s="779" t="s">
        <v>270</v>
      </c>
      <c r="E412" s="736">
        <v>228</v>
      </c>
      <c r="F412" s="736">
        <v>510</v>
      </c>
      <c r="G412" s="737">
        <v>291</v>
      </c>
      <c r="H412" s="764" t="s">
        <v>24</v>
      </c>
      <c r="I412" s="769"/>
      <c r="J412" s="766"/>
      <c r="K412" s="766"/>
      <c r="L412" s="766"/>
      <c r="M412" s="766"/>
      <c r="N412" s="767"/>
      <c r="P412" s="788"/>
    </row>
    <row r="413" spans="1:16" s="789" customFormat="1" ht="18" customHeight="1" x14ac:dyDescent="0.3">
      <c r="A413" s="716">
        <v>405</v>
      </c>
      <c r="B413" s="775"/>
      <c r="C413" s="758"/>
      <c r="D413" s="774" t="s">
        <v>245</v>
      </c>
      <c r="E413" s="759"/>
      <c r="F413" s="759"/>
      <c r="G413" s="1366"/>
      <c r="H413" s="778"/>
      <c r="I413" s="769">
        <f>SUM(J413:N413)</f>
        <v>510</v>
      </c>
      <c r="J413" s="776"/>
      <c r="K413" s="776"/>
      <c r="L413" s="776"/>
      <c r="M413" s="766">
        <v>510</v>
      </c>
      <c r="N413" s="796"/>
      <c r="P413" s="790"/>
    </row>
    <row r="414" spans="1:16" s="789" customFormat="1" ht="18" customHeight="1" x14ac:dyDescent="0.3">
      <c r="A414" s="716">
        <v>406</v>
      </c>
      <c r="B414" s="775"/>
      <c r="C414" s="758"/>
      <c r="D414" s="792" t="s">
        <v>810</v>
      </c>
      <c r="E414" s="759"/>
      <c r="F414" s="759"/>
      <c r="G414" s="1366"/>
      <c r="H414" s="778"/>
      <c r="I414" s="1448">
        <f>SUM(J414:N414)</f>
        <v>510</v>
      </c>
      <c r="J414" s="1106"/>
      <c r="K414" s="1106"/>
      <c r="L414" s="1106"/>
      <c r="M414" s="1105">
        <v>510</v>
      </c>
      <c r="N414" s="796"/>
      <c r="P414" s="790"/>
    </row>
    <row r="415" spans="1:16" s="789" customFormat="1" ht="18" customHeight="1" x14ac:dyDescent="0.3">
      <c r="A415" s="716">
        <v>407</v>
      </c>
      <c r="B415" s="775"/>
      <c r="C415" s="758"/>
      <c r="D415" s="792" t="s">
        <v>652</v>
      </c>
      <c r="E415" s="759"/>
      <c r="F415" s="759"/>
      <c r="G415" s="1366"/>
      <c r="H415" s="778"/>
      <c r="I415" s="296">
        <f>SUM(J415:Q415)</f>
        <v>0</v>
      </c>
      <c r="J415" s="776"/>
      <c r="K415" s="776"/>
      <c r="L415" s="776"/>
      <c r="M415" s="766"/>
      <c r="N415" s="796"/>
      <c r="P415" s="790"/>
    </row>
    <row r="416" spans="1:16" s="789" customFormat="1" ht="18" customHeight="1" x14ac:dyDescent="0.3">
      <c r="A416" s="716">
        <v>408</v>
      </c>
      <c r="B416" s="775"/>
      <c r="C416" s="758"/>
      <c r="D416" s="792" t="s">
        <v>858</v>
      </c>
      <c r="E416" s="759"/>
      <c r="F416" s="759"/>
      <c r="G416" s="1366"/>
      <c r="H416" s="778"/>
      <c r="I416" s="299">
        <f>SUM(J416:Q416)</f>
        <v>510</v>
      </c>
      <c r="J416" s="1105"/>
      <c r="K416" s="1105"/>
      <c r="L416" s="1105"/>
      <c r="M416" s="1105">
        <f>SUM(M414:M415)</f>
        <v>510</v>
      </c>
      <c r="N416" s="796"/>
      <c r="P416" s="790"/>
    </row>
    <row r="417" spans="1:16" s="789" customFormat="1" ht="18" customHeight="1" x14ac:dyDescent="0.3">
      <c r="A417" s="716">
        <v>409</v>
      </c>
      <c r="B417" s="775"/>
      <c r="C417" s="758"/>
      <c r="D417" s="779" t="s">
        <v>435</v>
      </c>
      <c r="E417" s="759"/>
      <c r="F417" s="736">
        <v>30000</v>
      </c>
      <c r="G417" s="1366"/>
      <c r="H417" s="764" t="s">
        <v>24</v>
      </c>
      <c r="I417" s="296"/>
      <c r="J417" s="776"/>
      <c r="K417" s="776"/>
      <c r="L417" s="776"/>
      <c r="M417" s="766"/>
      <c r="N417" s="796"/>
      <c r="P417" s="790"/>
    </row>
    <row r="418" spans="1:16" s="733" customFormat="1" ht="22.5" customHeight="1" x14ac:dyDescent="0.3">
      <c r="A418" s="716">
        <v>410</v>
      </c>
      <c r="B418" s="744"/>
      <c r="C418" s="745">
        <v>51</v>
      </c>
      <c r="D418" s="746" t="s">
        <v>60</v>
      </c>
      <c r="E418" s="736">
        <v>3840</v>
      </c>
      <c r="F418" s="736">
        <v>7000</v>
      </c>
      <c r="G418" s="737">
        <v>4706</v>
      </c>
      <c r="H418" s="738" t="s">
        <v>23</v>
      </c>
      <c r="I418" s="739"/>
      <c r="J418" s="740"/>
      <c r="K418" s="740"/>
      <c r="L418" s="740"/>
      <c r="M418" s="740"/>
      <c r="N418" s="742"/>
      <c r="P418" s="743"/>
    </row>
    <row r="419" spans="1:16" s="761" customFormat="1" ht="18" customHeight="1" x14ac:dyDescent="0.3">
      <c r="A419" s="716">
        <v>411</v>
      </c>
      <c r="B419" s="757"/>
      <c r="C419" s="758"/>
      <c r="D419" s="241" t="s">
        <v>245</v>
      </c>
      <c r="E419" s="759"/>
      <c r="F419" s="759"/>
      <c r="G419" s="1366"/>
      <c r="H419" s="760"/>
      <c r="I419" s="739">
        <f>SUM(J419:N419)</f>
        <v>7000</v>
      </c>
      <c r="J419" s="741"/>
      <c r="K419" s="741"/>
      <c r="L419" s="741"/>
      <c r="M419" s="741">
        <v>7000</v>
      </c>
      <c r="N419" s="750"/>
    </row>
    <row r="420" spans="1:16" s="761" customFormat="1" ht="18" customHeight="1" x14ac:dyDescent="0.3">
      <c r="A420" s="716">
        <v>412</v>
      </c>
      <c r="B420" s="757"/>
      <c r="C420" s="758"/>
      <c r="D420" s="377" t="s">
        <v>810</v>
      </c>
      <c r="E420" s="759"/>
      <c r="F420" s="759"/>
      <c r="G420" s="1366"/>
      <c r="H420" s="760"/>
      <c r="I420" s="1446">
        <f>SUM(J420:N420)</f>
        <v>7000</v>
      </c>
      <c r="J420" s="1099"/>
      <c r="K420" s="1099"/>
      <c r="L420" s="1099"/>
      <c r="M420" s="1099">
        <v>7000</v>
      </c>
      <c r="N420" s="750"/>
    </row>
    <row r="421" spans="1:16" s="761" customFormat="1" ht="18" customHeight="1" x14ac:dyDescent="0.3">
      <c r="A421" s="716">
        <v>413</v>
      </c>
      <c r="B421" s="757"/>
      <c r="C421" s="758"/>
      <c r="D421" s="910" t="s">
        <v>652</v>
      </c>
      <c r="E421" s="759"/>
      <c r="F421" s="759"/>
      <c r="G421" s="1366"/>
      <c r="H421" s="760"/>
      <c r="I421" s="296">
        <f>SUM(J421:Q421)</f>
        <v>0</v>
      </c>
      <c r="J421" s="1105"/>
      <c r="K421" s="1105"/>
      <c r="L421" s="1105"/>
      <c r="M421" s="1105"/>
      <c r="N421" s="750"/>
    </row>
    <row r="422" spans="1:16" s="761" customFormat="1" ht="18" customHeight="1" x14ac:dyDescent="0.3">
      <c r="A422" s="716">
        <v>414</v>
      </c>
      <c r="B422" s="757"/>
      <c r="C422" s="758"/>
      <c r="D422" s="377" t="s">
        <v>858</v>
      </c>
      <c r="E422" s="759"/>
      <c r="F422" s="759"/>
      <c r="G422" s="1366"/>
      <c r="H422" s="760"/>
      <c r="I422" s="443">
        <f>SUM(J422:Q422)</f>
        <v>7000</v>
      </c>
      <c r="J422" s="741"/>
      <c r="K422" s="741"/>
      <c r="L422" s="741"/>
      <c r="M422" s="1099">
        <f>SUM(M420:M421)</f>
        <v>7000</v>
      </c>
      <c r="N422" s="750"/>
    </row>
    <row r="423" spans="1:16" s="701" customFormat="1" ht="22.5" customHeight="1" x14ac:dyDescent="0.35">
      <c r="A423" s="716">
        <v>415</v>
      </c>
      <c r="B423" s="786"/>
      <c r="C423" s="745">
        <v>52</v>
      </c>
      <c r="D423" s="746" t="s">
        <v>61</v>
      </c>
      <c r="E423" s="736">
        <v>1474</v>
      </c>
      <c r="F423" s="736">
        <v>4910</v>
      </c>
      <c r="G423" s="737">
        <v>1693</v>
      </c>
      <c r="H423" s="738" t="s">
        <v>23</v>
      </c>
      <c r="I423" s="739"/>
      <c r="J423" s="740"/>
      <c r="K423" s="740"/>
      <c r="L423" s="740"/>
      <c r="M423" s="740"/>
      <c r="N423" s="742"/>
      <c r="P423" s="702"/>
    </row>
    <row r="424" spans="1:16" s="761" customFormat="1" ht="18" customHeight="1" x14ac:dyDescent="0.3">
      <c r="A424" s="716">
        <v>416</v>
      </c>
      <c r="B424" s="757"/>
      <c r="C424" s="758"/>
      <c r="D424" s="241" t="s">
        <v>245</v>
      </c>
      <c r="E424" s="759"/>
      <c r="F424" s="759"/>
      <c r="G424" s="1366"/>
      <c r="H424" s="760"/>
      <c r="I424" s="739">
        <f>SUM(J424:N424)</f>
        <v>6177</v>
      </c>
      <c r="J424" s="741">
        <v>5800</v>
      </c>
      <c r="K424" s="741">
        <v>377</v>
      </c>
      <c r="L424" s="741"/>
      <c r="M424" s="741"/>
      <c r="N424" s="750"/>
    </row>
    <row r="425" spans="1:16" s="761" customFormat="1" ht="18" customHeight="1" x14ac:dyDescent="0.3">
      <c r="A425" s="716">
        <v>417</v>
      </c>
      <c r="B425" s="757"/>
      <c r="C425" s="758"/>
      <c r="D425" s="377" t="s">
        <v>810</v>
      </c>
      <c r="E425" s="759"/>
      <c r="F425" s="759"/>
      <c r="G425" s="1366"/>
      <c r="H425" s="760"/>
      <c r="I425" s="1446">
        <f>SUM(J425:N425)</f>
        <v>6177</v>
      </c>
      <c r="J425" s="1099">
        <v>5800</v>
      </c>
      <c r="K425" s="1099">
        <v>377</v>
      </c>
      <c r="L425" s="741"/>
      <c r="M425" s="741"/>
      <c r="N425" s="750"/>
    </row>
    <row r="426" spans="1:16" s="761" customFormat="1" ht="18" customHeight="1" x14ac:dyDescent="0.3">
      <c r="A426" s="716">
        <v>418</v>
      </c>
      <c r="B426" s="757"/>
      <c r="C426" s="758"/>
      <c r="D426" s="910" t="s">
        <v>652</v>
      </c>
      <c r="E426" s="759"/>
      <c r="F426" s="759"/>
      <c r="G426" s="1366"/>
      <c r="H426" s="760"/>
      <c r="I426" s="296">
        <f>SUM(J426:Q426)</f>
        <v>0</v>
      </c>
      <c r="J426" s="1105"/>
      <c r="K426" s="1105"/>
      <c r="L426" s="741"/>
      <c r="M426" s="741"/>
      <c r="N426" s="750"/>
    </row>
    <row r="427" spans="1:16" s="761" customFormat="1" ht="18" customHeight="1" x14ac:dyDescent="0.3">
      <c r="A427" s="716">
        <v>419</v>
      </c>
      <c r="B427" s="757"/>
      <c r="C427" s="758"/>
      <c r="D427" s="377" t="s">
        <v>858</v>
      </c>
      <c r="E427" s="759"/>
      <c r="F427" s="759"/>
      <c r="G427" s="1366"/>
      <c r="H427" s="760"/>
      <c r="I427" s="443">
        <f>SUM(J427:Q427)</f>
        <v>6177</v>
      </c>
      <c r="J427" s="1099">
        <f>SUM(J425:J426)</f>
        <v>5800</v>
      </c>
      <c r="K427" s="1099">
        <f>SUM(K425:K426)</f>
        <v>377</v>
      </c>
      <c r="L427" s="741"/>
      <c r="M427" s="741"/>
      <c r="N427" s="750"/>
    </row>
    <row r="428" spans="1:16" s="701" customFormat="1" ht="22.5" customHeight="1" x14ac:dyDescent="0.35">
      <c r="A428" s="716">
        <v>420</v>
      </c>
      <c r="B428" s="786"/>
      <c r="C428" s="745">
        <v>53</v>
      </c>
      <c r="D428" s="746" t="s">
        <v>221</v>
      </c>
      <c r="E428" s="736">
        <v>577</v>
      </c>
      <c r="F428" s="736">
        <v>3334</v>
      </c>
      <c r="G428" s="737">
        <v>216</v>
      </c>
      <c r="H428" s="738" t="s">
        <v>24</v>
      </c>
      <c r="I428" s="739"/>
      <c r="J428" s="740"/>
      <c r="K428" s="740"/>
      <c r="L428" s="740"/>
      <c r="M428" s="740"/>
      <c r="N428" s="742"/>
      <c r="P428" s="702"/>
    </row>
    <row r="429" spans="1:16" s="761" customFormat="1" ht="18" customHeight="1" x14ac:dyDescent="0.3">
      <c r="A429" s="716">
        <v>421</v>
      </c>
      <c r="B429" s="757"/>
      <c r="C429" s="758"/>
      <c r="D429" s="241" t="s">
        <v>245</v>
      </c>
      <c r="E429" s="759"/>
      <c r="F429" s="759"/>
      <c r="G429" s="1366"/>
      <c r="H429" s="760"/>
      <c r="I429" s="739">
        <f>SUM(J429:N429)</f>
        <v>4407</v>
      </c>
      <c r="J429" s="741">
        <v>3900</v>
      </c>
      <c r="K429" s="741">
        <v>507</v>
      </c>
      <c r="L429" s="741"/>
      <c r="M429" s="741"/>
      <c r="N429" s="750"/>
    </row>
    <row r="430" spans="1:16" s="761" customFormat="1" ht="18" customHeight="1" x14ac:dyDescent="0.3">
      <c r="A430" s="716">
        <v>422</v>
      </c>
      <c r="B430" s="757"/>
      <c r="C430" s="758"/>
      <c r="D430" s="377" t="s">
        <v>810</v>
      </c>
      <c r="E430" s="759"/>
      <c r="F430" s="759"/>
      <c r="G430" s="1366"/>
      <c r="H430" s="760"/>
      <c r="I430" s="1446">
        <f>SUM(J430:N430)</f>
        <v>4407</v>
      </c>
      <c r="J430" s="1099">
        <v>3900</v>
      </c>
      <c r="K430" s="1099">
        <v>507</v>
      </c>
      <c r="L430" s="741"/>
      <c r="M430" s="741"/>
      <c r="N430" s="750"/>
    </row>
    <row r="431" spans="1:16" s="761" customFormat="1" ht="18" customHeight="1" x14ac:dyDescent="0.3">
      <c r="A431" s="716">
        <v>423</v>
      </c>
      <c r="B431" s="757"/>
      <c r="C431" s="758"/>
      <c r="D431" s="910" t="s">
        <v>652</v>
      </c>
      <c r="E431" s="759"/>
      <c r="F431" s="759"/>
      <c r="G431" s="1366"/>
      <c r="H431" s="760"/>
      <c r="I431" s="296">
        <f>SUM(J431:Q431)</f>
        <v>0</v>
      </c>
      <c r="J431" s="1105"/>
      <c r="K431" s="1105"/>
      <c r="L431" s="741"/>
      <c r="M431" s="741"/>
      <c r="N431" s="750"/>
    </row>
    <row r="432" spans="1:16" s="761" customFormat="1" ht="18" customHeight="1" x14ac:dyDescent="0.3">
      <c r="A432" s="716">
        <v>424</v>
      </c>
      <c r="B432" s="757"/>
      <c r="C432" s="758"/>
      <c r="D432" s="377" t="s">
        <v>858</v>
      </c>
      <c r="E432" s="759"/>
      <c r="F432" s="759"/>
      <c r="G432" s="1366"/>
      <c r="H432" s="760"/>
      <c r="I432" s="443">
        <f>SUM(J432:Q432)</f>
        <v>4407</v>
      </c>
      <c r="J432" s="1099">
        <f>SUM(J430:J431)</f>
        <v>3900</v>
      </c>
      <c r="K432" s="1099">
        <f>SUM(K430:K431)</f>
        <v>507</v>
      </c>
      <c r="L432" s="741"/>
      <c r="M432" s="741"/>
      <c r="N432" s="750"/>
    </row>
    <row r="433" spans="1:16" s="701" customFormat="1" ht="22.5" customHeight="1" x14ac:dyDescent="0.35">
      <c r="A433" s="716">
        <v>425</v>
      </c>
      <c r="B433" s="786"/>
      <c r="C433" s="745">
        <v>54</v>
      </c>
      <c r="D433" s="746" t="s">
        <v>62</v>
      </c>
      <c r="E433" s="736"/>
      <c r="F433" s="736">
        <v>100</v>
      </c>
      <c r="G433" s="737"/>
      <c r="H433" s="738" t="s">
        <v>24</v>
      </c>
      <c r="I433" s="739"/>
      <c r="J433" s="740"/>
      <c r="K433" s="740"/>
      <c r="L433" s="740"/>
      <c r="M433" s="740"/>
      <c r="N433" s="742"/>
      <c r="P433" s="702"/>
    </row>
    <row r="434" spans="1:16" s="761" customFormat="1" ht="18" customHeight="1" x14ac:dyDescent="0.3">
      <c r="A434" s="716">
        <v>426</v>
      </c>
      <c r="B434" s="757"/>
      <c r="C434" s="758"/>
      <c r="D434" s="241" t="s">
        <v>245</v>
      </c>
      <c r="E434" s="759"/>
      <c r="F434" s="759"/>
      <c r="G434" s="1366"/>
      <c r="H434" s="760"/>
      <c r="I434" s="739">
        <f>SUM(J434:N434)</f>
        <v>100</v>
      </c>
      <c r="J434" s="741"/>
      <c r="K434" s="741"/>
      <c r="L434" s="741"/>
      <c r="M434" s="741">
        <v>100</v>
      </c>
      <c r="N434" s="750"/>
    </row>
    <row r="435" spans="1:16" s="761" customFormat="1" ht="18" customHeight="1" x14ac:dyDescent="0.3">
      <c r="A435" s="716">
        <v>427</v>
      </c>
      <c r="B435" s="757"/>
      <c r="C435" s="758"/>
      <c r="D435" s="377" t="s">
        <v>810</v>
      </c>
      <c r="E435" s="759"/>
      <c r="F435" s="759"/>
      <c r="G435" s="1366"/>
      <c r="H435" s="760"/>
      <c r="I435" s="1446">
        <f>SUM(J435:N435)</f>
        <v>100</v>
      </c>
      <c r="J435" s="1099"/>
      <c r="K435" s="1099"/>
      <c r="L435" s="1099"/>
      <c r="M435" s="1099">
        <v>100</v>
      </c>
      <c r="N435" s="750"/>
    </row>
    <row r="436" spans="1:16" s="761" customFormat="1" ht="18" customHeight="1" x14ac:dyDescent="0.3">
      <c r="A436" s="716">
        <v>428</v>
      </c>
      <c r="B436" s="757"/>
      <c r="C436" s="758"/>
      <c r="D436" s="910" t="s">
        <v>652</v>
      </c>
      <c r="E436" s="759"/>
      <c r="F436" s="759"/>
      <c r="G436" s="1366"/>
      <c r="H436" s="760"/>
      <c r="I436" s="296">
        <f>SUM(J436:Q436)</f>
        <v>0</v>
      </c>
      <c r="J436" s="741"/>
      <c r="K436" s="741"/>
      <c r="L436" s="741"/>
      <c r="M436" s="1105"/>
      <c r="N436" s="750"/>
    </row>
    <row r="437" spans="1:16" s="761" customFormat="1" ht="18" customHeight="1" x14ac:dyDescent="0.3">
      <c r="A437" s="716">
        <v>429</v>
      </c>
      <c r="B437" s="757"/>
      <c r="C437" s="758"/>
      <c r="D437" s="377" t="s">
        <v>858</v>
      </c>
      <c r="E437" s="759"/>
      <c r="F437" s="759"/>
      <c r="G437" s="1366"/>
      <c r="H437" s="760"/>
      <c r="I437" s="443">
        <f>SUM(J437:Q437)</f>
        <v>100</v>
      </c>
      <c r="J437" s="741"/>
      <c r="K437" s="741"/>
      <c r="L437" s="741"/>
      <c r="M437" s="1099">
        <f>SUM(M435:M436)</f>
        <v>100</v>
      </c>
      <c r="N437" s="750"/>
    </row>
    <row r="438" spans="1:16" s="701" customFormat="1" ht="22.5" customHeight="1" x14ac:dyDescent="0.35">
      <c r="A438" s="716">
        <v>430</v>
      </c>
      <c r="B438" s="786"/>
      <c r="C438" s="745">
        <v>56</v>
      </c>
      <c r="D438" s="746" t="s">
        <v>243</v>
      </c>
      <c r="E438" s="736">
        <v>12000</v>
      </c>
      <c r="F438" s="736">
        <v>12000</v>
      </c>
      <c r="G438" s="737">
        <v>12000</v>
      </c>
      <c r="H438" s="738" t="s">
        <v>23</v>
      </c>
      <c r="I438" s="739"/>
      <c r="J438" s="740"/>
      <c r="K438" s="740"/>
      <c r="L438" s="740"/>
      <c r="M438" s="740"/>
      <c r="N438" s="742"/>
      <c r="P438" s="702"/>
    </row>
    <row r="439" spans="1:16" s="761" customFormat="1" ht="18" customHeight="1" x14ac:dyDescent="0.3">
      <c r="A439" s="716">
        <v>431</v>
      </c>
      <c r="B439" s="757"/>
      <c r="C439" s="758"/>
      <c r="D439" s="241" t="s">
        <v>245</v>
      </c>
      <c r="E439" s="759"/>
      <c r="F439" s="759"/>
      <c r="G439" s="1366"/>
      <c r="H439" s="760"/>
      <c r="I439" s="739">
        <f>SUM(J439:N439)</f>
        <v>12000</v>
      </c>
      <c r="J439" s="741"/>
      <c r="K439" s="741"/>
      <c r="L439" s="741"/>
      <c r="M439" s="741"/>
      <c r="N439" s="750">
        <v>12000</v>
      </c>
    </row>
    <row r="440" spans="1:16" s="761" customFormat="1" ht="18" customHeight="1" x14ac:dyDescent="0.3">
      <c r="A440" s="716">
        <v>432</v>
      </c>
      <c r="B440" s="757"/>
      <c r="C440" s="758"/>
      <c r="D440" s="377" t="s">
        <v>810</v>
      </c>
      <c r="E440" s="759"/>
      <c r="F440" s="759"/>
      <c r="G440" s="1366"/>
      <c r="H440" s="760"/>
      <c r="I440" s="1446">
        <f>SUM(J440:N440)</f>
        <v>12000</v>
      </c>
      <c r="J440" s="1099"/>
      <c r="K440" s="1099"/>
      <c r="L440" s="1099"/>
      <c r="M440" s="1099"/>
      <c r="N440" s="1104">
        <v>12000</v>
      </c>
    </row>
    <row r="441" spans="1:16" s="761" customFormat="1" ht="18" customHeight="1" x14ac:dyDescent="0.3">
      <c r="A441" s="716">
        <v>433</v>
      </c>
      <c r="B441" s="757"/>
      <c r="C441" s="758"/>
      <c r="D441" s="910" t="s">
        <v>652</v>
      </c>
      <c r="E441" s="759"/>
      <c r="F441" s="759"/>
      <c r="G441" s="1366"/>
      <c r="H441" s="760"/>
      <c r="I441" s="296">
        <f>SUM(J441:Q441)</f>
        <v>0</v>
      </c>
      <c r="J441" s="1105"/>
      <c r="K441" s="1105"/>
      <c r="L441" s="1105"/>
      <c r="M441" s="1105"/>
      <c r="N441" s="1115"/>
    </row>
    <row r="442" spans="1:16" s="761" customFormat="1" ht="18" customHeight="1" x14ac:dyDescent="0.3">
      <c r="A442" s="716">
        <v>434</v>
      </c>
      <c r="B442" s="757"/>
      <c r="C442" s="758"/>
      <c r="D442" s="377" t="s">
        <v>858</v>
      </c>
      <c r="E442" s="759"/>
      <c r="F442" s="759"/>
      <c r="G442" s="1366"/>
      <c r="H442" s="760"/>
      <c r="I442" s="443">
        <f>SUM(J442:Q442)</f>
        <v>12000</v>
      </c>
      <c r="J442" s="741"/>
      <c r="K442" s="741"/>
      <c r="L442" s="741"/>
      <c r="M442" s="741"/>
      <c r="N442" s="1104">
        <f>SUM(N440:N441)</f>
        <v>12000</v>
      </c>
    </row>
    <row r="443" spans="1:16" s="701" customFormat="1" ht="22.5" customHeight="1" x14ac:dyDescent="0.35">
      <c r="A443" s="716">
        <v>435</v>
      </c>
      <c r="B443" s="786"/>
      <c r="C443" s="745">
        <v>57</v>
      </c>
      <c r="D443" s="746" t="s">
        <v>63</v>
      </c>
      <c r="E443" s="736">
        <v>80000</v>
      </c>
      <c r="F443" s="736">
        <v>85000</v>
      </c>
      <c r="G443" s="737">
        <v>85000</v>
      </c>
      <c r="H443" s="738" t="s">
        <v>23</v>
      </c>
      <c r="I443" s="739"/>
      <c r="J443" s="740"/>
      <c r="K443" s="740"/>
      <c r="L443" s="740"/>
      <c r="M443" s="740"/>
      <c r="N443" s="742"/>
      <c r="P443" s="702"/>
    </row>
    <row r="444" spans="1:16" s="761" customFormat="1" ht="18" customHeight="1" x14ac:dyDescent="0.3">
      <c r="A444" s="716">
        <v>436</v>
      </c>
      <c r="B444" s="757"/>
      <c r="C444" s="758"/>
      <c r="D444" s="241" t="s">
        <v>245</v>
      </c>
      <c r="E444" s="759"/>
      <c r="F444" s="759"/>
      <c r="G444" s="1366"/>
      <c r="H444" s="760"/>
      <c r="I444" s="739">
        <f>SUM(J444:N444)</f>
        <v>85000</v>
      </c>
      <c r="J444" s="741"/>
      <c r="K444" s="741"/>
      <c r="L444" s="741"/>
      <c r="M444" s="741"/>
      <c r="N444" s="750">
        <v>85000</v>
      </c>
    </row>
    <row r="445" spans="1:16" s="761" customFormat="1" ht="18" customHeight="1" x14ac:dyDescent="0.3">
      <c r="A445" s="716">
        <v>437</v>
      </c>
      <c r="B445" s="757"/>
      <c r="C445" s="758"/>
      <c r="D445" s="377" t="s">
        <v>810</v>
      </c>
      <c r="E445" s="759"/>
      <c r="F445" s="759"/>
      <c r="G445" s="1366"/>
      <c r="H445" s="760"/>
      <c r="I445" s="1446">
        <f>SUM(J445:N445)</f>
        <v>85000</v>
      </c>
      <c r="J445" s="1099"/>
      <c r="K445" s="1099"/>
      <c r="L445" s="1099"/>
      <c r="M445" s="1099"/>
      <c r="N445" s="1104">
        <v>85000</v>
      </c>
    </row>
    <row r="446" spans="1:16" s="761" customFormat="1" ht="18" customHeight="1" x14ac:dyDescent="0.3">
      <c r="A446" s="716">
        <v>438</v>
      </c>
      <c r="B446" s="757"/>
      <c r="C446" s="758"/>
      <c r="D446" s="910" t="s">
        <v>652</v>
      </c>
      <c r="E446" s="759"/>
      <c r="F446" s="759"/>
      <c r="G446" s="1366"/>
      <c r="H446" s="760"/>
      <c r="I446" s="296">
        <f>SUM(J446:Q446)</f>
        <v>0</v>
      </c>
      <c r="J446" s="1105"/>
      <c r="K446" s="1105"/>
      <c r="L446" s="1105"/>
      <c r="M446" s="1105"/>
      <c r="N446" s="1115"/>
    </row>
    <row r="447" spans="1:16" s="761" customFormat="1" ht="18" customHeight="1" x14ac:dyDescent="0.3">
      <c r="A447" s="716">
        <v>439</v>
      </c>
      <c r="B447" s="757"/>
      <c r="C447" s="758"/>
      <c r="D447" s="377" t="s">
        <v>858</v>
      </c>
      <c r="E447" s="759"/>
      <c r="F447" s="759"/>
      <c r="G447" s="1366"/>
      <c r="H447" s="760"/>
      <c r="I447" s="443">
        <f>SUM(J447:Q447)</f>
        <v>85000</v>
      </c>
      <c r="J447" s="741"/>
      <c r="K447" s="741"/>
      <c r="L447" s="741"/>
      <c r="M447" s="741"/>
      <c r="N447" s="1104">
        <f>SUM(N445:N446)</f>
        <v>85000</v>
      </c>
    </row>
    <row r="448" spans="1:16" s="701" customFormat="1" ht="22.5" customHeight="1" x14ac:dyDescent="0.35">
      <c r="A448" s="716">
        <v>440</v>
      </c>
      <c r="B448" s="786"/>
      <c r="C448" s="745">
        <v>58</v>
      </c>
      <c r="D448" s="746" t="s">
        <v>639</v>
      </c>
      <c r="E448" s="736">
        <v>889032</v>
      </c>
      <c r="F448" s="736">
        <v>886415</v>
      </c>
      <c r="G448" s="737">
        <v>983535</v>
      </c>
      <c r="H448" s="738" t="s">
        <v>23</v>
      </c>
      <c r="I448" s="739"/>
      <c r="J448" s="740"/>
      <c r="K448" s="740"/>
      <c r="L448" s="740"/>
      <c r="M448" s="740"/>
      <c r="N448" s="742"/>
      <c r="P448" s="702"/>
    </row>
    <row r="449" spans="1:16" s="761" customFormat="1" ht="18" customHeight="1" x14ac:dyDescent="0.3">
      <c r="A449" s="716">
        <v>441</v>
      </c>
      <c r="B449" s="757"/>
      <c r="C449" s="758"/>
      <c r="D449" s="241" t="s">
        <v>245</v>
      </c>
      <c r="E449" s="759"/>
      <c r="F449" s="759"/>
      <c r="G449" s="1366"/>
      <c r="H449" s="760"/>
      <c r="I449" s="739">
        <f>SUM(J449:N449)</f>
        <v>904763</v>
      </c>
      <c r="J449" s="741"/>
      <c r="K449" s="741"/>
      <c r="L449" s="741"/>
      <c r="M449" s="741"/>
      <c r="N449" s="750">
        <v>904763</v>
      </c>
    </row>
    <row r="450" spans="1:16" s="761" customFormat="1" ht="18" customHeight="1" x14ac:dyDescent="0.3">
      <c r="A450" s="716">
        <v>442</v>
      </c>
      <c r="B450" s="757"/>
      <c r="C450" s="758"/>
      <c r="D450" s="377" t="s">
        <v>810</v>
      </c>
      <c r="E450" s="759"/>
      <c r="F450" s="759"/>
      <c r="G450" s="1366"/>
      <c r="H450" s="760"/>
      <c r="I450" s="1446">
        <f>SUM(J450:N450)</f>
        <v>969150</v>
      </c>
      <c r="J450" s="1099"/>
      <c r="K450" s="1099"/>
      <c r="L450" s="1099"/>
      <c r="M450" s="1099"/>
      <c r="N450" s="1104">
        <v>969150</v>
      </c>
    </row>
    <row r="451" spans="1:16" s="761" customFormat="1" ht="18" customHeight="1" x14ac:dyDescent="0.3">
      <c r="A451" s="716">
        <v>443</v>
      </c>
      <c r="B451" s="757"/>
      <c r="C451" s="758"/>
      <c r="D451" s="910" t="s">
        <v>885</v>
      </c>
      <c r="E451" s="759"/>
      <c r="F451" s="759"/>
      <c r="G451" s="1366"/>
      <c r="H451" s="760"/>
      <c r="I451" s="296">
        <f>SUM(J451:Q451)</f>
        <v>17922</v>
      </c>
      <c r="J451" s="1105"/>
      <c r="K451" s="1105"/>
      <c r="L451" s="1105"/>
      <c r="M451" s="1105"/>
      <c r="N451" s="1115">
        <v>17922</v>
      </c>
    </row>
    <row r="452" spans="1:16" s="761" customFormat="1" ht="18" customHeight="1" x14ac:dyDescent="0.3">
      <c r="A452" s="716">
        <v>444</v>
      </c>
      <c r="B452" s="757"/>
      <c r="C452" s="758"/>
      <c r="D452" s="910" t="s">
        <v>886</v>
      </c>
      <c r="E452" s="759"/>
      <c r="F452" s="759"/>
      <c r="G452" s="1366"/>
      <c r="H452" s="760"/>
      <c r="I452" s="296">
        <f>SUM(J452:Q452)</f>
        <v>3911</v>
      </c>
      <c r="J452" s="1105"/>
      <c r="K452" s="1105"/>
      <c r="L452" s="1105"/>
      <c r="M452" s="1105"/>
      <c r="N452" s="1115">
        <v>3911</v>
      </c>
    </row>
    <row r="453" spans="1:16" s="761" customFormat="1" ht="18" customHeight="1" x14ac:dyDescent="0.3">
      <c r="A453" s="716">
        <v>445</v>
      </c>
      <c r="B453" s="757"/>
      <c r="C453" s="758"/>
      <c r="D453" s="377" t="s">
        <v>858</v>
      </c>
      <c r="E453" s="759"/>
      <c r="F453" s="759"/>
      <c r="G453" s="1366"/>
      <c r="H453" s="760"/>
      <c r="I453" s="443">
        <f>SUM(J453:Q453)</f>
        <v>990983</v>
      </c>
      <c r="J453" s="741"/>
      <c r="K453" s="741"/>
      <c r="L453" s="741"/>
      <c r="M453" s="741"/>
      <c r="N453" s="1104">
        <f>SUM(N450:N452)</f>
        <v>990983</v>
      </c>
    </row>
    <row r="454" spans="1:16" s="701" customFormat="1" ht="23.45" customHeight="1" x14ac:dyDescent="0.35">
      <c r="A454" s="716">
        <v>446</v>
      </c>
      <c r="B454" s="786"/>
      <c r="C454" s="745">
        <v>59</v>
      </c>
      <c r="D454" s="746" t="s">
        <v>255</v>
      </c>
      <c r="E454" s="736">
        <v>90207</v>
      </c>
      <c r="F454" s="736"/>
      <c r="G454" s="737"/>
      <c r="H454" s="738" t="s">
        <v>23</v>
      </c>
      <c r="I454" s="739"/>
      <c r="J454" s="740"/>
      <c r="K454" s="740"/>
      <c r="L454" s="740"/>
      <c r="M454" s="740"/>
      <c r="N454" s="742"/>
      <c r="P454" s="702"/>
    </row>
    <row r="455" spans="1:16" s="743" customFormat="1" ht="22.5" customHeight="1" x14ac:dyDescent="0.3">
      <c r="A455" s="716">
        <v>447</v>
      </c>
      <c r="B455" s="734"/>
      <c r="C455" s="745">
        <v>60</v>
      </c>
      <c r="D455" s="727" t="s">
        <v>285</v>
      </c>
      <c r="E455" s="736">
        <v>1419</v>
      </c>
      <c r="F455" s="736">
        <v>4320</v>
      </c>
      <c r="G455" s="737">
        <v>2325</v>
      </c>
      <c r="H455" s="738" t="s">
        <v>24</v>
      </c>
      <c r="I455" s="739"/>
      <c r="J455" s="740"/>
      <c r="K455" s="740"/>
      <c r="L455" s="740"/>
      <c r="M455" s="740"/>
      <c r="N455" s="742"/>
    </row>
    <row r="456" spans="1:16" s="761" customFormat="1" ht="18" customHeight="1" x14ac:dyDescent="0.3">
      <c r="A456" s="716">
        <v>448</v>
      </c>
      <c r="B456" s="757"/>
      <c r="C456" s="758"/>
      <c r="D456" s="241" t="s">
        <v>245</v>
      </c>
      <c r="E456" s="759"/>
      <c r="F456" s="759"/>
      <c r="G456" s="1366"/>
      <c r="H456" s="760"/>
      <c r="I456" s="739">
        <f>SUM(J456:N456)</f>
        <v>4320</v>
      </c>
      <c r="J456" s="741"/>
      <c r="K456" s="741"/>
      <c r="L456" s="741">
        <v>4320</v>
      </c>
      <c r="M456" s="741"/>
      <c r="N456" s="750"/>
    </row>
    <row r="457" spans="1:16" s="761" customFormat="1" ht="18" customHeight="1" x14ac:dyDescent="0.3">
      <c r="A457" s="716">
        <v>449</v>
      </c>
      <c r="B457" s="757"/>
      <c r="C457" s="758"/>
      <c r="D457" s="377" t="s">
        <v>810</v>
      </c>
      <c r="E457" s="759"/>
      <c r="F457" s="759"/>
      <c r="G457" s="1366"/>
      <c r="H457" s="760"/>
      <c r="I457" s="1446">
        <f>SUM(J457:N457)</f>
        <v>4320</v>
      </c>
      <c r="J457" s="1099"/>
      <c r="K457" s="1099"/>
      <c r="L457" s="1099">
        <v>4320</v>
      </c>
      <c r="M457" s="741"/>
      <c r="N457" s="750"/>
    </row>
    <row r="458" spans="1:16" s="761" customFormat="1" ht="18" customHeight="1" x14ac:dyDescent="0.3">
      <c r="A458" s="716">
        <v>450</v>
      </c>
      <c r="B458" s="757"/>
      <c r="C458" s="758"/>
      <c r="D458" s="910" t="s">
        <v>652</v>
      </c>
      <c r="E458" s="759"/>
      <c r="F458" s="759"/>
      <c r="G458" s="1366"/>
      <c r="H458" s="760"/>
      <c r="I458" s="296">
        <f>SUM(J458:Q458)</f>
        <v>0</v>
      </c>
      <c r="J458" s="1105"/>
      <c r="K458" s="1105"/>
      <c r="L458" s="1105"/>
      <c r="M458" s="1105"/>
      <c r="N458" s="1115"/>
    </row>
    <row r="459" spans="1:16" s="761" customFormat="1" ht="18" customHeight="1" x14ac:dyDescent="0.3">
      <c r="A459" s="716">
        <v>451</v>
      </c>
      <c r="B459" s="757"/>
      <c r="C459" s="758"/>
      <c r="D459" s="377" t="s">
        <v>858</v>
      </c>
      <c r="E459" s="759"/>
      <c r="F459" s="759"/>
      <c r="G459" s="1366"/>
      <c r="H459" s="760"/>
      <c r="I459" s="443">
        <f>SUM(J459:Q459)</f>
        <v>4320</v>
      </c>
      <c r="J459" s="741"/>
      <c r="K459" s="741"/>
      <c r="L459" s="1099">
        <f>SUM(L457:L458)</f>
        <v>4320</v>
      </c>
      <c r="M459" s="741"/>
      <c r="N459" s="750"/>
    </row>
    <row r="460" spans="1:16" s="743" customFormat="1" ht="22.5" customHeight="1" x14ac:dyDescent="0.3">
      <c r="A460" s="716">
        <v>452</v>
      </c>
      <c r="B460" s="734"/>
      <c r="C460" s="745">
        <v>61</v>
      </c>
      <c r="D460" s="727" t="s">
        <v>286</v>
      </c>
      <c r="E460" s="736"/>
      <c r="F460" s="736">
        <v>4000</v>
      </c>
      <c r="G460" s="737"/>
      <c r="H460" s="738" t="s">
        <v>24</v>
      </c>
      <c r="I460" s="739"/>
      <c r="J460" s="740"/>
      <c r="K460" s="740"/>
      <c r="L460" s="740"/>
      <c r="M460" s="740"/>
      <c r="N460" s="742"/>
    </row>
    <row r="461" spans="1:16" s="733" customFormat="1" ht="22.5" customHeight="1" x14ac:dyDescent="0.3">
      <c r="A461" s="716">
        <v>453</v>
      </c>
      <c r="B461" s="744"/>
      <c r="C461" s="745">
        <v>62</v>
      </c>
      <c r="D461" s="746" t="s">
        <v>64</v>
      </c>
      <c r="E461" s="736">
        <v>2000</v>
      </c>
      <c r="F461" s="736">
        <v>2000</v>
      </c>
      <c r="G461" s="737">
        <v>2000</v>
      </c>
      <c r="H461" s="738" t="s">
        <v>24</v>
      </c>
      <c r="I461" s="739"/>
      <c r="J461" s="740"/>
      <c r="K461" s="740"/>
      <c r="L461" s="740"/>
      <c r="M461" s="740"/>
      <c r="N461" s="742"/>
      <c r="P461" s="743"/>
    </row>
    <row r="462" spans="1:16" s="761" customFormat="1" ht="18" customHeight="1" x14ac:dyDescent="0.3">
      <c r="A462" s="716">
        <v>454</v>
      </c>
      <c r="B462" s="757"/>
      <c r="C462" s="758"/>
      <c r="D462" s="241" t="s">
        <v>245</v>
      </c>
      <c r="E462" s="759"/>
      <c r="F462" s="759"/>
      <c r="G462" s="1366"/>
      <c r="H462" s="760"/>
      <c r="I462" s="739">
        <f>SUM(J462:N462)</f>
        <v>2000</v>
      </c>
      <c r="J462" s="741"/>
      <c r="K462" s="741"/>
      <c r="L462" s="741">
        <v>2000</v>
      </c>
      <c r="M462" s="741"/>
      <c r="N462" s="750"/>
    </row>
    <row r="463" spans="1:16" s="761" customFormat="1" ht="18" customHeight="1" x14ac:dyDescent="0.3">
      <c r="A463" s="716">
        <v>455</v>
      </c>
      <c r="B463" s="757"/>
      <c r="C463" s="758"/>
      <c r="D463" s="377" t="s">
        <v>810</v>
      </c>
      <c r="E463" s="759"/>
      <c r="F463" s="759"/>
      <c r="G463" s="1366"/>
      <c r="H463" s="760"/>
      <c r="I463" s="1446">
        <f>SUM(J463:N463)</f>
        <v>2000</v>
      </c>
      <c r="J463" s="1099"/>
      <c r="K463" s="1099"/>
      <c r="L463" s="1099">
        <v>2000</v>
      </c>
      <c r="M463" s="741"/>
      <c r="N463" s="750"/>
    </row>
    <row r="464" spans="1:16" s="761" customFormat="1" ht="18" customHeight="1" x14ac:dyDescent="0.3">
      <c r="A464" s="716">
        <v>456</v>
      </c>
      <c r="B464" s="757"/>
      <c r="C464" s="758"/>
      <c r="D464" s="910" t="s">
        <v>652</v>
      </c>
      <c r="E464" s="759"/>
      <c r="F464" s="759"/>
      <c r="G464" s="1366"/>
      <c r="H464" s="760"/>
      <c r="I464" s="296">
        <f>SUM(J464:Q464)</f>
        <v>0</v>
      </c>
      <c r="J464" s="1105"/>
      <c r="K464" s="1105"/>
      <c r="L464" s="1105"/>
      <c r="M464" s="1105"/>
      <c r="N464" s="1115"/>
    </row>
    <row r="465" spans="1:16" s="761" customFormat="1" ht="18" customHeight="1" x14ac:dyDescent="0.3">
      <c r="A465" s="716">
        <v>457</v>
      </c>
      <c r="B465" s="757"/>
      <c r="C465" s="758"/>
      <c r="D465" s="377" t="s">
        <v>858</v>
      </c>
      <c r="E465" s="759"/>
      <c r="F465" s="759"/>
      <c r="G465" s="1366"/>
      <c r="H465" s="760"/>
      <c r="I465" s="443">
        <f>SUM(J465:Q465)</f>
        <v>2000</v>
      </c>
      <c r="J465" s="741"/>
      <c r="K465" s="741"/>
      <c r="L465" s="1099">
        <f>SUM(L463:L464)</f>
        <v>2000</v>
      </c>
      <c r="M465" s="741"/>
      <c r="N465" s="750"/>
    </row>
    <row r="466" spans="1:16" s="733" customFormat="1" ht="23.45" customHeight="1" x14ac:dyDescent="0.3">
      <c r="A466" s="716">
        <v>458</v>
      </c>
      <c r="B466" s="744"/>
      <c r="C466" s="745">
        <v>63</v>
      </c>
      <c r="D466" s="746" t="s">
        <v>271</v>
      </c>
      <c r="E466" s="736"/>
      <c r="F466" s="736"/>
      <c r="G466" s="737"/>
      <c r="H466" s="738" t="s">
        <v>24</v>
      </c>
      <c r="I466" s="739"/>
      <c r="J466" s="740"/>
      <c r="K466" s="740"/>
      <c r="L466" s="740"/>
      <c r="M466" s="740"/>
      <c r="N466" s="742"/>
      <c r="P466" s="743"/>
    </row>
    <row r="467" spans="1:16" s="733" customFormat="1" ht="23.45" customHeight="1" x14ac:dyDescent="0.3">
      <c r="A467" s="716">
        <v>459</v>
      </c>
      <c r="B467" s="744"/>
      <c r="C467" s="745">
        <v>64</v>
      </c>
      <c r="D467" s="746" t="s">
        <v>65</v>
      </c>
      <c r="E467" s="736">
        <v>1000</v>
      </c>
      <c r="F467" s="736">
        <v>1000</v>
      </c>
      <c r="G467" s="737">
        <v>1000</v>
      </c>
      <c r="H467" s="738" t="s">
        <v>24</v>
      </c>
      <c r="I467" s="739"/>
      <c r="J467" s="740"/>
      <c r="K467" s="740"/>
      <c r="L467" s="740"/>
      <c r="M467" s="740"/>
      <c r="N467" s="742"/>
      <c r="P467" s="743"/>
    </row>
    <row r="468" spans="1:16" s="761" customFormat="1" ht="18" customHeight="1" x14ac:dyDescent="0.3">
      <c r="A468" s="716">
        <v>460</v>
      </c>
      <c r="B468" s="757"/>
      <c r="C468" s="758"/>
      <c r="D468" s="241" t="s">
        <v>245</v>
      </c>
      <c r="E468" s="759"/>
      <c r="F468" s="759"/>
      <c r="G468" s="1366"/>
      <c r="H468" s="760"/>
      <c r="I468" s="739">
        <f>SUM(J468:N468)</f>
        <v>1000</v>
      </c>
      <c r="J468" s="741"/>
      <c r="K468" s="741"/>
      <c r="L468" s="741">
        <v>1000</v>
      </c>
      <c r="M468" s="741"/>
      <c r="N468" s="750"/>
    </row>
    <row r="469" spans="1:16" s="761" customFormat="1" ht="18" customHeight="1" x14ac:dyDescent="0.3">
      <c r="A469" s="716">
        <v>461</v>
      </c>
      <c r="B469" s="757"/>
      <c r="C469" s="758"/>
      <c r="D469" s="377" t="s">
        <v>810</v>
      </c>
      <c r="E469" s="759"/>
      <c r="F469" s="759"/>
      <c r="G469" s="1366"/>
      <c r="H469" s="760"/>
      <c r="I469" s="1446">
        <f>SUM(J469:N469)</f>
        <v>1000</v>
      </c>
      <c r="J469" s="1099"/>
      <c r="K469" s="1099"/>
      <c r="L469" s="1099">
        <v>1000</v>
      </c>
      <c r="M469" s="741"/>
      <c r="N469" s="750"/>
    </row>
    <row r="470" spans="1:16" s="761" customFormat="1" ht="18" customHeight="1" x14ac:dyDescent="0.3">
      <c r="A470" s="716">
        <v>462</v>
      </c>
      <c r="B470" s="757"/>
      <c r="C470" s="758"/>
      <c r="D470" s="910" t="s">
        <v>652</v>
      </c>
      <c r="E470" s="759"/>
      <c r="F470" s="759"/>
      <c r="G470" s="1366"/>
      <c r="H470" s="760"/>
      <c r="I470" s="296">
        <f>SUM(J470:Q470)</f>
        <v>0</v>
      </c>
      <c r="J470" s="1105"/>
      <c r="K470" s="1105"/>
      <c r="L470" s="1105"/>
      <c r="M470" s="1105"/>
      <c r="N470" s="1115"/>
    </row>
    <row r="471" spans="1:16" s="761" customFormat="1" ht="18" customHeight="1" x14ac:dyDescent="0.3">
      <c r="A471" s="716">
        <v>463</v>
      </c>
      <c r="B471" s="757"/>
      <c r="C471" s="758"/>
      <c r="D471" s="377" t="s">
        <v>858</v>
      </c>
      <c r="E471" s="759"/>
      <c r="F471" s="759"/>
      <c r="G471" s="1366"/>
      <c r="H471" s="760"/>
      <c r="I471" s="443">
        <f>SUM(J471:Q471)</f>
        <v>1000</v>
      </c>
      <c r="J471" s="741"/>
      <c r="K471" s="741"/>
      <c r="L471" s="1099">
        <f>SUM(L469:L470)</f>
        <v>1000</v>
      </c>
      <c r="M471" s="741"/>
      <c r="N471" s="750"/>
    </row>
    <row r="472" spans="1:16" s="743" customFormat="1" ht="22.5" customHeight="1" x14ac:dyDescent="0.3">
      <c r="A472" s="716">
        <v>464</v>
      </c>
      <c r="B472" s="734"/>
      <c r="C472" s="745">
        <v>65</v>
      </c>
      <c r="D472" s="746" t="s">
        <v>333</v>
      </c>
      <c r="E472" s="736">
        <v>3000</v>
      </c>
      <c r="F472" s="736">
        <v>3000</v>
      </c>
      <c r="G472" s="737">
        <v>3000</v>
      </c>
      <c r="H472" s="738" t="s">
        <v>23</v>
      </c>
      <c r="I472" s="739"/>
      <c r="J472" s="740"/>
      <c r="K472" s="740"/>
      <c r="L472" s="740"/>
      <c r="M472" s="740"/>
      <c r="N472" s="742"/>
    </row>
    <row r="473" spans="1:16" s="743" customFormat="1" ht="18" customHeight="1" x14ac:dyDescent="0.3">
      <c r="A473" s="716">
        <v>465</v>
      </c>
      <c r="B473" s="734"/>
      <c r="C473" s="745"/>
      <c r="D473" s="241" t="s">
        <v>245</v>
      </c>
      <c r="E473" s="736"/>
      <c r="F473" s="736"/>
      <c r="G473" s="737"/>
      <c r="H473" s="738"/>
      <c r="I473" s="739">
        <f>SUM(J473:N473)</f>
        <v>3000</v>
      </c>
      <c r="J473" s="740"/>
      <c r="K473" s="740"/>
      <c r="L473" s="741"/>
      <c r="M473" s="740"/>
      <c r="N473" s="750">
        <v>3000</v>
      </c>
    </row>
    <row r="474" spans="1:16" s="743" customFormat="1" ht="18" customHeight="1" x14ac:dyDescent="0.3">
      <c r="A474" s="716">
        <v>466</v>
      </c>
      <c r="B474" s="734"/>
      <c r="C474" s="745"/>
      <c r="D474" s="377" t="s">
        <v>810</v>
      </c>
      <c r="E474" s="736"/>
      <c r="F474" s="736"/>
      <c r="G474" s="737"/>
      <c r="H474" s="738"/>
      <c r="I474" s="1446">
        <f>SUM(J474:N474)</f>
        <v>3000</v>
      </c>
      <c r="J474" s="1103"/>
      <c r="K474" s="1103"/>
      <c r="L474" s="1099"/>
      <c r="M474" s="1103"/>
      <c r="N474" s="1104">
        <v>3000</v>
      </c>
    </row>
    <row r="475" spans="1:16" s="743" customFormat="1" ht="18" customHeight="1" x14ac:dyDescent="0.3">
      <c r="A475" s="716">
        <v>467</v>
      </c>
      <c r="B475" s="734"/>
      <c r="C475" s="745"/>
      <c r="D475" s="910" t="s">
        <v>652</v>
      </c>
      <c r="E475" s="736"/>
      <c r="F475" s="736"/>
      <c r="G475" s="737"/>
      <c r="H475" s="738"/>
      <c r="I475" s="296">
        <f>SUM(J475:Q475)</f>
        <v>0</v>
      </c>
      <c r="J475" s="1105"/>
      <c r="K475" s="1105"/>
      <c r="L475" s="1106"/>
      <c r="M475" s="1105"/>
      <c r="N475" s="1107"/>
    </row>
    <row r="476" spans="1:16" s="743" customFormat="1" ht="18" customHeight="1" x14ac:dyDescent="0.3">
      <c r="A476" s="716">
        <v>468</v>
      </c>
      <c r="B476" s="734"/>
      <c r="C476" s="745"/>
      <c r="D476" s="377" t="s">
        <v>858</v>
      </c>
      <c r="E476" s="736"/>
      <c r="F476" s="736"/>
      <c r="G476" s="737"/>
      <c r="H476" s="738"/>
      <c r="I476" s="443">
        <f>SUM(J476:Q476)</f>
        <v>3000</v>
      </c>
      <c r="J476" s="740"/>
      <c r="K476" s="740"/>
      <c r="L476" s="741"/>
      <c r="M476" s="740"/>
      <c r="N476" s="1104">
        <f>SUM(N474:N475)</f>
        <v>3000</v>
      </c>
    </row>
    <row r="477" spans="1:16" s="733" customFormat="1" ht="22.5" customHeight="1" x14ac:dyDescent="0.3">
      <c r="A477" s="716">
        <v>469</v>
      </c>
      <c r="B477" s="744"/>
      <c r="C477" s="745">
        <v>67</v>
      </c>
      <c r="D477" s="746" t="s">
        <v>66</v>
      </c>
      <c r="E477" s="736">
        <v>6665</v>
      </c>
      <c r="F477" s="736">
        <v>7350</v>
      </c>
      <c r="G477" s="737">
        <v>6195</v>
      </c>
      <c r="H477" s="738" t="s">
        <v>23</v>
      </c>
      <c r="I477" s="739"/>
      <c r="J477" s="740"/>
      <c r="K477" s="740"/>
      <c r="L477" s="740"/>
      <c r="M477" s="740"/>
      <c r="N477" s="742"/>
      <c r="P477" s="743"/>
    </row>
    <row r="478" spans="1:16" s="761" customFormat="1" ht="18" customHeight="1" x14ac:dyDescent="0.3">
      <c r="A478" s="716">
        <v>470</v>
      </c>
      <c r="B478" s="757"/>
      <c r="C478" s="758"/>
      <c r="D478" s="241" t="s">
        <v>245</v>
      </c>
      <c r="E478" s="759"/>
      <c r="F478" s="759"/>
      <c r="G478" s="1366"/>
      <c r="H478" s="760"/>
      <c r="I478" s="739">
        <f>SUM(J478:N478)</f>
        <v>8374</v>
      </c>
      <c r="J478" s="741"/>
      <c r="K478" s="741"/>
      <c r="L478" s="741">
        <f>7219+1155</f>
        <v>8374</v>
      </c>
      <c r="M478" s="741"/>
      <c r="N478" s="750"/>
    </row>
    <row r="479" spans="1:16" s="761" customFormat="1" ht="18" customHeight="1" x14ac:dyDescent="0.3">
      <c r="A479" s="716">
        <v>471</v>
      </c>
      <c r="B479" s="757"/>
      <c r="C479" s="758"/>
      <c r="D479" s="377" t="s">
        <v>810</v>
      </c>
      <c r="E479" s="759"/>
      <c r="F479" s="759"/>
      <c r="G479" s="1366"/>
      <c r="H479" s="760"/>
      <c r="I479" s="1446">
        <f>SUM(J479:N479)</f>
        <v>8374</v>
      </c>
      <c r="J479" s="1099"/>
      <c r="K479" s="1099"/>
      <c r="L479" s="1099">
        <v>8374</v>
      </c>
      <c r="M479" s="741"/>
      <c r="N479" s="750"/>
    </row>
    <row r="480" spans="1:16" s="761" customFormat="1" ht="18" customHeight="1" x14ac:dyDescent="0.3">
      <c r="A480" s="716">
        <v>472</v>
      </c>
      <c r="B480" s="757"/>
      <c r="C480" s="758"/>
      <c r="D480" s="910" t="s">
        <v>652</v>
      </c>
      <c r="E480" s="759"/>
      <c r="F480" s="759"/>
      <c r="G480" s="1366"/>
      <c r="H480" s="760"/>
      <c r="I480" s="296">
        <f>SUM(J480:Q480)</f>
        <v>0</v>
      </c>
      <c r="J480" s="1105"/>
      <c r="K480" s="1105"/>
      <c r="L480" s="1105"/>
      <c r="M480" s="1105"/>
      <c r="N480" s="1115"/>
    </row>
    <row r="481" spans="1:16" s="761" customFormat="1" ht="18" customHeight="1" x14ac:dyDescent="0.3">
      <c r="A481" s="716">
        <v>473</v>
      </c>
      <c r="B481" s="757"/>
      <c r="C481" s="758"/>
      <c r="D481" s="377" t="s">
        <v>858</v>
      </c>
      <c r="E481" s="759"/>
      <c r="F481" s="759"/>
      <c r="G481" s="1366"/>
      <c r="H481" s="760"/>
      <c r="I481" s="443">
        <f>SUM(J481:Q481)</f>
        <v>8374</v>
      </c>
      <c r="J481" s="741"/>
      <c r="K481" s="741"/>
      <c r="L481" s="1099">
        <f>SUM(L479:L480)</f>
        <v>8374</v>
      </c>
      <c r="M481" s="741"/>
      <c r="N481" s="750"/>
    </row>
    <row r="482" spans="1:16" s="733" customFormat="1" ht="22.5" customHeight="1" x14ac:dyDescent="0.3">
      <c r="A482" s="716">
        <v>474</v>
      </c>
      <c r="B482" s="744"/>
      <c r="C482" s="745">
        <v>68</v>
      </c>
      <c r="D482" s="746" t="s">
        <v>67</v>
      </c>
      <c r="E482" s="736">
        <v>2227</v>
      </c>
      <c r="F482" s="736">
        <v>6448</v>
      </c>
      <c r="G482" s="737">
        <v>2326</v>
      </c>
      <c r="H482" s="738" t="s">
        <v>24</v>
      </c>
      <c r="I482" s="739"/>
      <c r="J482" s="740"/>
      <c r="K482" s="740"/>
      <c r="L482" s="740"/>
      <c r="M482" s="740"/>
      <c r="N482" s="742"/>
      <c r="P482" s="743"/>
    </row>
    <row r="483" spans="1:16" s="761" customFormat="1" ht="18" customHeight="1" x14ac:dyDescent="0.3">
      <c r="A483" s="716">
        <v>475</v>
      </c>
      <c r="B483" s="757"/>
      <c r="C483" s="758"/>
      <c r="D483" s="241" t="s">
        <v>245</v>
      </c>
      <c r="E483" s="759"/>
      <c r="F483" s="759"/>
      <c r="G483" s="1366"/>
      <c r="H483" s="760"/>
      <c r="I483" s="739">
        <f>SUM(J483:N483)</f>
        <v>6448</v>
      </c>
      <c r="J483" s="741"/>
      <c r="K483" s="741"/>
      <c r="L483" s="741">
        <f>6448</f>
        <v>6448</v>
      </c>
      <c r="M483" s="741"/>
      <c r="N483" s="750"/>
    </row>
    <row r="484" spans="1:16" s="761" customFormat="1" ht="18" customHeight="1" x14ac:dyDescent="0.3">
      <c r="A484" s="716">
        <v>476</v>
      </c>
      <c r="B484" s="757"/>
      <c r="C484" s="758"/>
      <c r="D484" s="377" t="s">
        <v>810</v>
      </c>
      <c r="E484" s="759"/>
      <c r="F484" s="759"/>
      <c r="G484" s="1366"/>
      <c r="H484" s="760"/>
      <c r="I484" s="1446">
        <f>SUM(J484:N484)</f>
        <v>6448</v>
      </c>
      <c r="J484" s="1099"/>
      <c r="K484" s="1099"/>
      <c r="L484" s="1099">
        <v>6448</v>
      </c>
      <c r="M484" s="741"/>
      <c r="N484" s="750"/>
    </row>
    <row r="485" spans="1:16" s="761" customFormat="1" ht="18" customHeight="1" x14ac:dyDescent="0.3">
      <c r="A485" s="716">
        <v>477</v>
      </c>
      <c r="B485" s="757"/>
      <c r="C485" s="758"/>
      <c r="D485" s="910" t="s">
        <v>652</v>
      </c>
      <c r="E485" s="759"/>
      <c r="F485" s="759"/>
      <c r="G485" s="1366"/>
      <c r="H485" s="760"/>
      <c r="I485" s="296">
        <f>SUM(J485:Q485)</f>
        <v>0</v>
      </c>
      <c r="J485" s="1105"/>
      <c r="K485" s="1105"/>
      <c r="L485" s="1105"/>
      <c r="M485" s="1105"/>
      <c r="N485" s="1115"/>
    </row>
    <row r="486" spans="1:16" s="761" customFormat="1" ht="18" customHeight="1" x14ac:dyDescent="0.3">
      <c r="A486" s="716">
        <v>478</v>
      </c>
      <c r="B486" s="757"/>
      <c r="C486" s="758"/>
      <c r="D486" s="377" t="s">
        <v>858</v>
      </c>
      <c r="E486" s="759"/>
      <c r="F486" s="759"/>
      <c r="G486" s="1366"/>
      <c r="H486" s="760"/>
      <c r="I486" s="443">
        <f>SUM(J486:Q486)</f>
        <v>6448</v>
      </c>
      <c r="J486" s="741"/>
      <c r="K486" s="741"/>
      <c r="L486" s="1099">
        <f>SUM(L484:L485)</f>
        <v>6448</v>
      </c>
      <c r="M486" s="741"/>
      <c r="N486" s="750"/>
    </row>
    <row r="487" spans="1:16" s="733" customFormat="1" ht="22.5" customHeight="1" x14ac:dyDescent="0.3">
      <c r="A487" s="716">
        <v>479</v>
      </c>
      <c r="B487" s="744"/>
      <c r="C487" s="745">
        <v>69</v>
      </c>
      <c r="D487" s="746" t="s">
        <v>68</v>
      </c>
      <c r="E487" s="736">
        <v>250887</v>
      </c>
      <c r="F487" s="736">
        <v>511189</v>
      </c>
      <c r="G487" s="737">
        <v>321258</v>
      </c>
      <c r="H487" s="738" t="s">
        <v>23</v>
      </c>
      <c r="I487" s="739"/>
      <c r="J487" s="740"/>
      <c r="K487" s="740"/>
      <c r="L487" s="740"/>
      <c r="M487" s="740"/>
      <c r="N487" s="742"/>
      <c r="P487" s="743"/>
    </row>
    <row r="488" spans="1:16" s="761" customFormat="1" ht="18" customHeight="1" x14ac:dyDescent="0.3">
      <c r="A488" s="716">
        <v>480</v>
      </c>
      <c r="B488" s="757"/>
      <c r="C488" s="758"/>
      <c r="D488" s="241" t="s">
        <v>245</v>
      </c>
      <c r="E488" s="759"/>
      <c r="F488" s="759"/>
      <c r="G488" s="1366"/>
      <c r="H488" s="760"/>
      <c r="I488" s="739">
        <f>SUM(J488:N488)</f>
        <v>678928</v>
      </c>
      <c r="J488" s="741">
        <f>362323+109286</f>
        <v>471609</v>
      </c>
      <c r="K488" s="741">
        <f>46889+34072</f>
        <v>80961</v>
      </c>
      <c r="L488" s="741">
        <f>52685+25000+48673</f>
        <v>126358</v>
      </c>
      <c r="M488" s="741"/>
      <c r="N488" s="750"/>
    </row>
    <row r="489" spans="1:16" s="761" customFormat="1" ht="18" customHeight="1" x14ac:dyDescent="0.3">
      <c r="A489" s="716">
        <v>481</v>
      </c>
      <c r="B489" s="757"/>
      <c r="C489" s="758"/>
      <c r="D489" s="377" t="s">
        <v>810</v>
      </c>
      <c r="E489" s="759"/>
      <c r="F489" s="759"/>
      <c r="G489" s="1366"/>
      <c r="H489" s="760"/>
      <c r="I489" s="1446">
        <f>SUM(J489:N489)</f>
        <v>668928</v>
      </c>
      <c r="J489" s="1099">
        <v>471609</v>
      </c>
      <c r="K489" s="1099">
        <v>80961</v>
      </c>
      <c r="L489" s="1099">
        <v>116358</v>
      </c>
      <c r="M489" s="741"/>
      <c r="N489" s="750"/>
    </row>
    <row r="490" spans="1:16" s="761" customFormat="1" ht="18" customHeight="1" x14ac:dyDescent="0.3">
      <c r="A490" s="716">
        <v>482</v>
      </c>
      <c r="B490" s="757"/>
      <c r="C490" s="758"/>
      <c r="D490" s="910" t="s">
        <v>652</v>
      </c>
      <c r="E490" s="759"/>
      <c r="F490" s="759"/>
      <c r="G490" s="1366"/>
      <c r="H490" s="760"/>
      <c r="I490" s="296">
        <f>SUM(J490:Q490)</f>
        <v>0</v>
      </c>
      <c r="J490" s="1105"/>
      <c r="K490" s="1105"/>
      <c r="L490" s="1105"/>
      <c r="M490" s="741"/>
      <c r="N490" s="750"/>
    </row>
    <row r="491" spans="1:16" s="761" customFormat="1" ht="18" customHeight="1" x14ac:dyDescent="0.3">
      <c r="A491" s="716">
        <v>483</v>
      </c>
      <c r="B491" s="757"/>
      <c r="C491" s="758"/>
      <c r="D491" s="377" t="s">
        <v>858</v>
      </c>
      <c r="E491" s="759"/>
      <c r="F491" s="759"/>
      <c r="G491" s="1366"/>
      <c r="H491" s="760"/>
      <c r="I491" s="443">
        <f>SUM(J491:Q491)</f>
        <v>668928</v>
      </c>
      <c r="J491" s="1099">
        <f>SUM(J489:J490)</f>
        <v>471609</v>
      </c>
      <c r="K491" s="1099">
        <f t="shared" ref="K491:L491" si="28">SUM(K489:K490)</f>
        <v>80961</v>
      </c>
      <c r="L491" s="1099">
        <f t="shared" si="28"/>
        <v>116358</v>
      </c>
      <c r="M491" s="741"/>
      <c r="N491" s="750"/>
    </row>
    <row r="492" spans="1:16" s="743" customFormat="1" ht="22.5" customHeight="1" x14ac:dyDescent="0.3">
      <c r="A492" s="716">
        <v>484</v>
      </c>
      <c r="B492" s="734"/>
      <c r="C492" s="745">
        <v>70</v>
      </c>
      <c r="D492" s="727" t="s">
        <v>504</v>
      </c>
      <c r="E492" s="736">
        <v>45</v>
      </c>
      <c r="F492" s="736">
        <v>180</v>
      </c>
      <c r="G492" s="737">
        <v>180</v>
      </c>
      <c r="H492" s="738" t="s">
        <v>23</v>
      </c>
      <c r="I492" s="739"/>
      <c r="J492" s="740"/>
      <c r="K492" s="740"/>
      <c r="L492" s="740"/>
      <c r="M492" s="740"/>
      <c r="N492" s="742"/>
    </row>
    <row r="493" spans="1:16" s="761" customFormat="1" ht="18" customHeight="1" x14ac:dyDescent="0.3">
      <c r="A493" s="716">
        <v>485</v>
      </c>
      <c r="B493" s="757"/>
      <c r="C493" s="758"/>
      <c r="D493" s="241" t="s">
        <v>245</v>
      </c>
      <c r="E493" s="759"/>
      <c r="F493" s="759"/>
      <c r="G493" s="1366"/>
      <c r="H493" s="760"/>
      <c r="I493" s="739">
        <f>SUM(J493:N493)</f>
        <v>180</v>
      </c>
      <c r="J493" s="741"/>
      <c r="K493" s="741"/>
      <c r="L493" s="741">
        <v>180</v>
      </c>
      <c r="M493" s="741"/>
      <c r="N493" s="750"/>
    </row>
    <row r="494" spans="1:16" s="761" customFormat="1" ht="18" customHeight="1" x14ac:dyDescent="0.3">
      <c r="A494" s="716">
        <v>486</v>
      </c>
      <c r="B494" s="757"/>
      <c r="C494" s="758"/>
      <c r="D494" s="377" t="s">
        <v>810</v>
      </c>
      <c r="E494" s="759"/>
      <c r="F494" s="759"/>
      <c r="G494" s="1366"/>
      <c r="H494" s="760"/>
      <c r="I494" s="1446">
        <f>SUM(J494:N494)</f>
        <v>180</v>
      </c>
      <c r="J494" s="1099"/>
      <c r="K494" s="1099"/>
      <c r="L494" s="1099">
        <v>180</v>
      </c>
      <c r="M494" s="741"/>
      <c r="N494" s="750"/>
    </row>
    <row r="495" spans="1:16" s="761" customFormat="1" ht="18" customHeight="1" x14ac:dyDescent="0.3">
      <c r="A495" s="716">
        <v>487</v>
      </c>
      <c r="B495" s="757"/>
      <c r="C495" s="758"/>
      <c r="D495" s="910" t="s">
        <v>652</v>
      </c>
      <c r="E495" s="759"/>
      <c r="F495" s="759"/>
      <c r="G495" s="1366"/>
      <c r="H495" s="760"/>
      <c r="I495" s="296">
        <f>SUM(J495:Q495)</f>
        <v>0</v>
      </c>
      <c r="J495" s="1105"/>
      <c r="K495" s="1105"/>
      <c r="L495" s="1105"/>
      <c r="M495" s="1105"/>
      <c r="N495" s="1115"/>
    </row>
    <row r="496" spans="1:16" s="761" customFormat="1" ht="18" customHeight="1" x14ac:dyDescent="0.3">
      <c r="A496" s="716">
        <v>488</v>
      </c>
      <c r="B496" s="757"/>
      <c r="C496" s="758"/>
      <c r="D496" s="377" t="s">
        <v>858</v>
      </c>
      <c r="E496" s="759"/>
      <c r="F496" s="759"/>
      <c r="G496" s="1366"/>
      <c r="H496" s="760"/>
      <c r="I496" s="443">
        <f>SUM(J496:Q496)</f>
        <v>180</v>
      </c>
      <c r="J496" s="741"/>
      <c r="K496" s="741"/>
      <c r="L496" s="1099">
        <f>SUM(L494:L495)</f>
        <v>180</v>
      </c>
      <c r="M496" s="741"/>
      <c r="N496" s="750"/>
    </row>
    <row r="497" spans="1:16" s="733" customFormat="1" ht="22.5" customHeight="1" x14ac:dyDescent="0.3">
      <c r="A497" s="716">
        <v>489</v>
      </c>
      <c r="B497" s="744"/>
      <c r="C497" s="745">
        <v>71</v>
      </c>
      <c r="D497" s="746" t="s">
        <v>69</v>
      </c>
      <c r="E497" s="736">
        <v>71148</v>
      </c>
      <c r="F497" s="736">
        <v>90000</v>
      </c>
      <c r="G497" s="737">
        <v>63271</v>
      </c>
      <c r="H497" s="738" t="s">
        <v>23</v>
      </c>
      <c r="I497" s="739"/>
      <c r="J497" s="740"/>
      <c r="K497" s="740"/>
      <c r="L497" s="740"/>
      <c r="M497" s="740"/>
      <c r="N497" s="742"/>
      <c r="P497" s="743"/>
    </row>
    <row r="498" spans="1:16" s="761" customFormat="1" ht="18" customHeight="1" x14ac:dyDescent="0.3">
      <c r="A498" s="716">
        <v>490</v>
      </c>
      <c r="B498" s="797"/>
      <c r="C498" s="758"/>
      <c r="D498" s="241" t="s">
        <v>245</v>
      </c>
      <c r="E498" s="798"/>
      <c r="F498" s="798"/>
      <c r="G498" s="1367"/>
      <c r="H498" s="795"/>
      <c r="I498" s="739">
        <f>SUM(J498:N498)</f>
        <v>84627</v>
      </c>
      <c r="J498" s="799"/>
      <c r="K498" s="799"/>
      <c r="L498" s="799">
        <f>4393+100+1134</f>
        <v>5627</v>
      </c>
      <c r="M498" s="799"/>
      <c r="N498" s="782">
        <v>79000</v>
      </c>
    </row>
    <row r="499" spans="1:16" s="761" customFormat="1" ht="18" customHeight="1" x14ac:dyDescent="0.3">
      <c r="A499" s="716">
        <v>491</v>
      </c>
      <c r="B499" s="797"/>
      <c r="C499" s="758"/>
      <c r="D499" s="377" t="s">
        <v>810</v>
      </c>
      <c r="E499" s="798"/>
      <c r="F499" s="798"/>
      <c r="G499" s="1367"/>
      <c r="H499" s="795"/>
      <c r="I499" s="1446">
        <f>SUM(J499:N499)</f>
        <v>109628</v>
      </c>
      <c r="J499" s="1098"/>
      <c r="K499" s="1098"/>
      <c r="L499" s="1098">
        <v>12627</v>
      </c>
      <c r="M499" s="1098"/>
      <c r="N499" s="1117">
        <v>97001</v>
      </c>
    </row>
    <row r="500" spans="1:16" s="761" customFormat="1" ht="18" customHeight="1" x14ac:dyDescent="0.3">
      <c r="A500" s="716">
        <v>492</v>
      </c>
      <c r="B500" s="797"/>
      <c r="C500" s="758"/>
      <c r="D500" s="910" t="s">
        <v>652</v>
      </c>
      <c r="E500" s="798"/>
      <c r="F500" s="798"/>
      <c r="G500" s="1367"/>
      <c r="H500" s="795"/>
      <c r="I500" s="296">
        <f>SUM(J500:Q500)</f>
        <v>0</v>
      </c>
      <c r="J500" s="1101"/>
      <c r="K500" s="1101"/>
      <c r="L500" s="1101"/>
      <c r="M500" s="1101"/>
      <c r="N500" s="1119"/>
    </row>
    <row r="501" spans="1:16" s="761" customFormat="1" ht="18" customHeight="1" x14ac:dyDescent="0.3">
      <c r="A501" s="716">
        <v>493</v>
      </c>
      <c r="B501" s="797"/>
      <c r="C501" s="758"/>
      <c r="D501" s="377" t="s">
        <v>858</v>
      </c>
      <c r="E501" s="798"/>
      <c r="F501" s="798"/>
      <c r="G501" s="1367"/>
      <c r="H501" s="795"/>
      <c r="I501" s="443">
        <f>SUM(J501:Q501)</f>
        <v>109628</v>
      </c>
      <c r="J501" s="799"/>
      <c r="K501" s="799"/>
      <c r="L501" s="1098">
        <f>SUM(L499:L500)</f>
        <v>12627</v>
      </c>
      <c r="M501" s="1098"/>
      <c r="N501" s="1117">
        <f>SUM(N499:N500)</f>
        <v>97001</v>
      </c>
    </row>
    <row r="502" spans="1:16" s="733" customFormat="1" ht="22.5" customHeight="1" x14ac:dyDescent="0.3">
      <c r="A502" s="716">
        <v>494</v>
      </c>
      <c r="B502" s="744"/>
      <c r="C502" s="745">
        <v>72</v>
      </c>
      <c r="D502" s="746" t="s">
        <v>70</v>
      </c>
      <c r="E502" s="736">
        <v>330427</v>
      </c>
      <c r="F502" s="736">
        <v>241986</v>
      </c>
      <c r="G502" s="737">
        <v>258141</v>
      </c>
      <c r="H502" s="738" t="s">
        <v>23</v>
      </c>
      <c r="I502" s="739"/>
      <c r="J502" s="740"/>
      <c r="K502" s="740"/>
      <c r="L502" s="740"/>
      <c r="M502" s="740"/>
      <c r="N502" s="742"/>
      <c r="P502" s="743"/>
    </row>
    <row r="503" spans="1:16" s="761" customFormat="1" ht="18" customHeight="1" x14ac:dyDescent="0.3">
      <c r="A503" s="716">
        <v>495</v>
      </c>
      <c r="B503" s="757"/>
      <c r="C503" s="758"/>
      <c r="D503" s="241" t="s">
        <v>245</v>
      </c>
      <c r="E503" s="759"/>
      <c r="F503" s="759"/>
      <c r="G503" s="1366"/>
      <c r="H503" s="760"/>
      <c r="I503" s="739">
        <f>SUM(J503:N503)</f>
        <v>699997</v>
      </c>
      <c r="J503" s="741"/>
      <c r="K503" s="741"/>
      <c r="L503" s="741">
        <f>216152+483845</f>
        <v>699997</v>
      </c>
      <c r="M503" s="741"/>
      <c r="N503" s="750"/>
    </row>
    <row r="504" spans="1:16" s="761" customFormat="1" ht="18" customHeight="1" x14ac:dyDescent="0.3">
      <c r="A504" s="716">
        <v>496</v>
      </c>
      <c r="B504" s="757"/>
      <c r="C504" s="758"/>
      <c r="D504" s="377" t="s">
        <v>810</v>
      </c>
      <c r="E504" s="759"/>
      <c r="F504" s="759"/>
      <c r="G504" s="1366"/>
      <c r="H504" s="760"/>
      <c r="I504" s="1446">
        <f>SUM(J504:N504)</f>
        <v>699997</v>
      </c>
      <c r="J504" s="1099"/>
      <c r="K504" s="1099"/>
      <c r="L504" s="1099">
        <v>699997</v>
      </c>
      <c r="M504" s="741"/>
      <c r="N504" s="750"/>
    </row>
    <row r="505" spans="1:16" s="761" customFormat="1" ht="18" customHeight="1" x14ac:dyDescent="0.3">
      <c r="A505" s="716">
        <v>497</v>
      </c>
      <c r="B505" s="757"/>
      <c r="C505" s="758"/>
      <c r="D505" s="910" t="s">
        <v>652</v>
      </c>
      <c r="E505" s="759"/>
      <c r="F505" s="759"/>
      <c r="G505" s="1366"/>
      <c r="H505" s="760"/>
      <c r="I505" s="296">
        <f>SUM(J505:Q505)</f>
        <v>0</v>
      </c>
      <c r="J505" s="1105"/>
      <c r="K505" s="1105"/>
      <c r="L505" s="1105"/>
      <c r="M505" s="1105"/>
      <c r="N505" s="1115"/>
    </row>
    <row r="506" spans="1:16" s="761" customFormat="1" ht="18" customHeight="1" x14ac:dyDescent="0.3">
      <c r="A506" s="716">
        <v>498</v>
      </c>
      <c r="B506" s="757"/>
      <c r="C506" s="758"/>
      <c r="D506" s="377" t="s">
        <v>858</v>
      </c>
      <c r="E506" s="759"/>
      <c r="F506" s="759"/>
      <c r="G506" s="1366"/>
      <c r="H506" s="760"/>
      <c r="I506" s="443">
        <f>SUM(J506:Q506)</f>
        <v>699997</v>
      </c>
      <c r="J506" s="741"/>
      <c r="K506" s="741"/>
      <c r="L506" s="1099">
        <f>SUM(L504:L505)</f>
        <v>699997</v>
      </c>
      <c r="M506" s="741"/>
      <c r="N506" s="750"/>
    </row>
    <row r="507" spans="1:16" s="733" customFormat="1" ht="22.5" customHeight="1" x14ac:dyDescent="0.3">
      <c r="A507" s="716">
        <v>499</v>
      </c>
      <c r="B507" s="744"/>
      <c r="C507" s="745">
        <v>73</v>
      </c>
      <c r="D507" s="746" t="s">
        <v>71</v>
      </c>
      <c r="E507" s="736">
        <v>191921</v>
      </c>
      <c r="F507" s="736">
        <v>131877</v>
      </c>
      <c r="G507" s="737">
        <v>110274</v>
      </c>
      <c r="H507" s="738" t="s">
        <v>24</v>
      </c>
      <c r="I507" s="739"/>
      <c r="J507" s="740"/>
      <c r="K507" s="740"/>
      <c r="L507" s="740"/>
      <c r="M507" s="740"/>
      <c r="N507" s="742"/>
      <c r="P507" s="743"/>
    </row>
    <row r="508" spans="1:16" s="761" customFormat="1" ht="18" customHeight="1" x14ac:dyDescent="0.3">
      <c r="A508" s="716">
        <v>500</v>
      </c>
      <c r="B508" s="757"/>
      <c r="C508" s="758"/>
      <c r="D508" s="241" t="s">
        <v>245</v>
      </c>
      <c r="E508" s="759"/>
      <c r="F508" s="759"/>
      <c r="G508" s="1366"/>
      <c r="H508" s="760"/>
      <c r="I508" s="739">
        <f>SUM(J508:N508)</f>
        <v>73932</v>
      </c>
      <c r="J508" s="741"/>
      <c r="K508" s="741"/>
      <c r="L508" s="741">
        <v>73932</v>
      </c>
      <c r="M508" s="741"/>
      <c r="N508" s="750"/>
    </row>
    <row r="509" spans="1:16" s="761" customFormat="1" ht="18" customHeight="1" x14ac:dyDescent="0.3">
      <c r="A509" s="716">
        <v>501</v>
      </c>
      <c r="B509" s="757"/>
      <c r="C509" s="758"/>
      <c r="D509" s="377" t="s">
        <v>810</v>
      </c>
      <c r="E509" s="759"/>
      <c r="F509" s="759"/>
      <c r="G509" s="1366"/>
      <c r="H509" s="760"/>
      <c r="I509" s="1446">
        <f>SUM(J509:N509)</f>
        <v>73932</v>
      </c>
      <c r="J509" s="1099"/>
      <c r="K509" s="1099"/>
      <c r="L509" s="1099">
        <v>73932</v>
      </c>
      <c r="M509" s="741"/>
      <c r="N509" s="750"/>
    </row>
    <row r="510" spans="1:16" s="761" customFormat="1" ht="18" customHeight="1" x14ac:dyDescent="0.3">
      <c r="A510" s="716">
        <v>502</v>
      </c>
      <c r="B510" s="757"/>
      <c r="C510" s="758"/>
      <c r="D510" s="910" t="s">
        <v>652</v>
      </c>
      <c r="E510" s="759"/>
      <c r="F510" s="759"/>
      <c r="G510" s="1366"/>
      <c r="H510" s="760"/>
      <c r="I510" s="296">
        <f>SUM(J510:Q510)</f>
        <v>0</v>
      </c>
      <c r="J510" s="1105"/>
      <c r="K510" s="1105"/>
      <c r="L510" s="1105"/>
      <c r="M510" s="1105"/>
      <c r="N510" s="1115"/>
    </row>
    <row r="511" spans="1:16" s="761" customFormat="1" ht="18" customHeight="1" x14ac:dyDescent="0.3">
      <c r="A511" s="716">
        <v>503</v>
      </c>
      <c r="B511" s="757"/>
      <c r="C511" s="758"/>
      <c r="D511" s="377" t="s">
        <v>858</v>
      </c>
      <c r="E511" s="759"/>
      <c r="F511" s="759"/>
      <c r="G511" s="1366"/>
      <c r="H511" s="760"/>
      <c r="I511" s="443">
        <f>SUM(J511:Q511)</f>
        <v>73932</v>
      </c>
      <c r="J511" s="741"/>
      <c r="K511" s="741"/>
      <c r="L511" s="1099">
        <f>SUM(L509:L510)</f>
        <v>73932</v>
      </c>
      <c r="M511" s="741"/>
      <c r="N511" s="750"/>
    </row>
    <row r="512" spans="1:16" s="743" customFormat="1" ht="22.5" customHeight="1" x14ac:dyDescent="0.3">
      <c r="A512" s="716">
        <v>504</v>
      </c>
      <c r="B512" s="734"/>
      <c r="C512" s="745">
        <v>74</v>
      </c>
      <c r="D512" s="727" t="s">
        <v>272</v>
      </c>
      <c r="E512" s="736">
        <v>2665054</v>
      </c>
      <c r="F512" s="736">
        <v>3487933</v>
      </c>
      <c r="G512" s="737">
        <v>3487933</v>
      </c>
      <c r="H512" s="738" t="s">
        <v>23</v>
      </c>
      <c r="I512" s="739"/>
      <c r="J512" s="740"/>
      <c r="K512" s="740"/>
      <c r="L512" s="740"/>
      <c r="M512" s="740"/>
      <c r="N512" s="742"/>
    </row>
    <row r="513" spans="1:16" s="761" customFormat="1" ht="18" customHeight="1" x14ac:dyDescent="0.3">
      <c r="A513" s="716">
        <v>505</v>
      </c>
      <c r="B513" s="757"/>
      <c r="C513" s="758"/>
      <c r="D513" s="241" t="s">
        <v>245</v>
      </c>
      <c r="E513" s="759"/>
      <c r="F513" s="759"/>
      <c r="G513" s="1366"/>
      <c r="H513" s="760"/>
      <c r="I513" s="739">
        <f>SUM(J513:N513)</f>
        <v>3756010</v>
      </c>
      <c r="J513" s="741"/>
      <c r="K513" s="741"/>
      <c r="L513" s="741"/>
      <c r="M513" s="741"/>
      <c r="N513" s="750">
        <v>3756010</v>
      </c>
    </row>
    <row r="514" spans="1:16" s="761" customFormat="1" ht="18" customHeight="1" x14ac:dyDescent="0.3">
      <c r="A514" s="716">
        <v>506</v>
      </c>
      <c r="B514" s="757"/>
      <c r="C514" s="758"/>
      <c r="D514" s="377" t="s">
        <v>810</v>
      </c>
      <c r="E514" s="736"/>
      <c r="F514" s="736"/>
      <c r="G514" s="1449"/>
      <c r="H514" s="1450"/>
      <c r="I514" s="1446">
        <f>SUM(J514:N514)</f>
        <v>3756010</v>
      </c>
      <c r="J514" s="1099"/>
      <c r="K514" s="1099"/>
      <c r="L514" s="1099"/>
      <c r="M514" s="1099"/>
      <c r="N514" s="1104">
        <v>3756010</v>
      </c>
    </row>
    <row r="515" spans="1:16" s="761" customFormat="1" ht="18" customHeight="1" x14ac:dyDescent="0.3">
      <c r="A515" s="716">
        <v>507</v>
      </c>
      <c r="B515" s="757"/>
      <c r="C515" s="758"/>
      <c r="D515" s="910" t="s">
        <v>652</v>
      </c>
      <c r="E515" s="759"/>
      <c r="F515" s="759"/>
      <c r="G515" s="1366"/>
      <c r="H515" s="760"/>
      <c r="I515" s="296">
        <f>SUM(J515:Q515)</f>
        <v>0</v>
      </c>
      <c r="J515" s="1105"/>
      <c r="K515" s="1105"/>
      <c r="L515" s="1105"/>
      <c r="M515" s="1105"/>
      <c r="N515" s="1115"/>
    </row>
    <row r="516" spans="1:16" s="761" customFormat="1" ht="18" customHeight="1" x14ac:dyDescent="0.3">
      <c r="A516" s="716">
        <v>508</v>
      </c>
      <c r="B516" s="757"/>
      <c r="C516" s="758"/>
      <c r="D516" s="377" t="s">
        <v>858</v>
      </c>
      <c r="E516" s="759"/>
      <c r="F516" s="759"/>
      <c r="G516" s="1366"/>
      <c r="H516" s="760"/>
      <c r="I516" s="443">
        <f>SUM(J516:Q516)</f>
        <v>3756010</v>
      </c>
      <c r="J516" s="741"/>
      <c r="K516" s="741"/>
      <c r="L516" s="741"/>
      <c r="M516" s="741"/>
      <c r="N516" s="1104">
        <f>SUM(N514:N515)</f>
        <v>3756010</v>
      </c>
    </row>
    <row r="517" spans="1:16" s="733" customFormat="1" ht="22.5" customHeight="1" x14ac:dyDescent="0.3">
      <c r="A517" s="716">
        <v>509</v>
      </c>
      <c r="B517" s="744"/>
      <c r="C517" s="745">
        <v>75</v>
      </c>
      <c r="D517" s="746" t="s">
        <v>72</v>
      </c>
      <c r="E517" s="736">
        <v>2276</v>
      </c>
      <c r="F517" s="736">
        <v>20000</v>
      </c>
      <c r="G517" s="737">
        <v>18000</v>
      </c>
      <c r="H517" s="738" t="s">
        <v>24</v>
      </c>
      <c r="I517" s="739"/>
      <c r="J517" s="740"/>
      <c r="K517" s="740"/>
      <c r="L517" s="740"/>
      <c r="M517" s="740"/>
      <c r="N517" s="742"/>
      <c r="P517" s="743"/>
    </row>
    <row r="518" spans="1:16" s="761" customFormat="1" ht="18" customHeight="1" x14ac:dyDescent="0.3">
      <c r="A518" s="716">
        <v>510</v>
      </c>
      <c r="B518" s="757"/>
      <c r="C518" s="758"/>
      <c r="D518" s="241" t="s">
        <v>245</v>
      </c>
      <c r="E518" s="759"/>
      <c r="F518" s="759"/>
      <c r="G518" s="1366"/>
      <c r="H518" s="760"/>
      <c r="I518" s="739">
        <f>SUM(J518:N518)</f>
        <v>6000</v>
      </c>
      <c r="J518" s="741"/>
      <c r="K518" s="741"/>
      <c r="L518" s="741"/>
      <c r="M518" s="741"/>
      <c r="N518" s="750">
        <v>6000</v>
      </c>
    </row>
    <row r="519" spans="1:16" s="761" customFormat="1" ht="18" customHeight="1" x14ac:dyDescent="0.3">
      <c r="A519" s="716">
        <v>511</v>
      </c>
      <c r="B519" s="757"/>
      <c r="C519" s="758"/>
      <c r="D519" s="377" t="s">
        <v>810</v>
      </c>
      <c r="E519" s="759"/>
      <c r="F519" s="759"/>
      <c r="G519" s="1366"/>
      <c r="H519" s="760"/>
      <c r="I519" s="1446">
        <f>SUM(J519:N519)</f>
        <v>5000</v>
      </c>
      <c r="J519" s="1099"/>
      <c r="K519" s="1099"/>
      <c r="L519" s="1099"/>
      <c r="M519" s="1099"/>
      <c r="N519" s="1104">
        <v>5000</v>
      </c>
    </row>
    <row r="520" spans="1:16" s="761" customFormat="1" ht="18" customHeight="1" x14ac:dyDescent="0.3">
      <c r="A520" s="716">
        <v>512</v>
      </c>
      <c r="B520" s="757"/>
      <c r="C520" s="758"/>
      <c r="D520" s="910" t="s">
        <v>652</v>
      </c>
      <c r="E520" s="759"/>
      <c r="F520" s="759"/>
      <c r="G520" s="1366"/>
      <c r="H520" s="760"/>
      <c r="I520" s="296">
        <f>SUM(J520:Q520)</f>
        <v>0</v>
      </c>
      <c r="J520" s="1105"/>
      <c r="K520" s="1105"/>
      <c r="L520" s="1105"/>
      <c r="M520" s="1105"/>
      <c r="N520" s="1115"/>
    </row>
    <row r="521" spans="1:16" s="761" customFormat="1" ht="18" customHeight="1" x14ac:dyDescent="0.3">
      <c r="A521" s="716">
        <v>513</v>
      </c>
      <c r="B521" s="757"/>
      <c r="C521" s="758"/>
      <c r="D521" s="377" t="s">
        <v>858</v>
      </c>
      <c r="E521" s="759"/>
      <c r="F521" s="759"/>
      <c r="G521" s="1366"/>
      <c r="H521" s="760"/>
      <c r="I521" s="443">
        <f>SUM(J521:Q521)</f>
        <v>5000</v>
      </c>
      <c r="J521" s="741"/>
      <c r="K521" s="741"/>
      <c r="L521" s="741"/>
      <c r="M521" s="741"/>
      <c r="N521" s="1104">
        <f>SUM(N519:N520)</f>
        <v>5000</v>
      </c>
    </row>
    <row r="522" spans="1:16" s="733" customFormat="1" ht="22.5" customHeight="1" x14ac:dyDescent="0.3">
      <c r="A522" s="716">
        <v>514</v>
      </c>
      <c r="B522" s="744"/>
      <c r="C522" s="745">
        <v>76</v>
      </c>
      <c r="D522" s="746" t="s">
        <v>75</v>
      </c>
      <c r="E522" s="736">
        <v>30000</v>
      </c>
      <c r="F522" s="736">
        <v>75000</v>
      </c>
      <c r="G522" s="737">
        <v>75000</v>
      </c>
      <c r="H522" s="738" t="s">
        <v>24</v>
      </c>
      <c r="I522" s="739"/>
      <c r="J522" s="740"/>
      <c r="K522" s="740"/>
      <c r="L522" s="740"/>
      <c r="M522" s="740"/>
      <c r="N522" s="742"/>
      <c r="P522" s="743"/>
    </row>
    <row r="523" spans="1:16" s="761" customFormat="1" ht="18" customHeight="1" x14ac:dyDescent="0.3">
      <c r="A523" s="716">
        <v>515</v>
      </c>
      <c r="B523" s="757"/>
      <c r="C523" s="758"/>
      <c r="D523" s="241" t="s">
        <v>245</v>
      </c>
      <c r="E523" s="759"/>
      <c r="F523" s="759"/>
      <c r="G523" s="1366"/>
      <c r="H523" s="760"/>
      <c r="I523" s="739">
        <f>SUM(J523:N523)</f>
        <v>65000</v>
      </c>
      <c r="J523" s="741"/>
      <c r="K523" s="741"/>
      <c r="L523" s="741"/>
      <c r="M523" s="741"/>
      <c r="N523" s="750">
        <v>65000</v>
      </c>
    </row>
    <row r="524" spans="1:16" s="761" customFormat="1" ht="18" customHeight="1" x14ac:dyDescent="0.3">
      <c r="A524" s="716">
        <v>516</v>
      </c>
      <c r="B524" s="757"/>
      <c r="C524" s="758"/>
      <c r="D524" s="377" t="s">
        <v>810</v>
      </c>
      <c r="E524" s="759"/>
      <c r="F524" s="759"/>
      <c r="G524" s="1366"/>
      <c r="H524" s="760"/>
      <c r="I524" s="1446">
        <f>SUM(J524:N524)</f>
        <v>65000</v>
      </c>
      <c r="J524" s="1099"/>
      <c r="K524" s="1099"/>
      <c r="L524" s="1099"/>
      <c r="M524" s="1099"/>
      <c r="N524" s="1104">
        <v>65000</v>
      </c>
    </row>
    <row r="525" spans="1:16" s="761" customFormat="1" ht="18" customHeight="1" x14ac:dyDescent="0.3">
      <c r="A525" s="716">
        <v>517</v>
      </c>
      <c r="B525" s="757"/>
      <c r="C525" s="758"/>
      <c r="D525" s="910" t="s">
        <v>652</v>
      </c>
      <c r="E525" s="759"/>
      <c r="F525" s="759"/>
      <c r="G525" s="1366"/>
      <c r="H525" s="760"/>
      <c r="I525" s="299">
        <f>SUM(J525:Q525)</f>
        <v>0</v>
      </c>
      <c r="J525" s="1106"/>
      <c r="K525" s="1106"/>
      <c r="L525" s="1106"/>
      <c r="M525" s="1106"/>
      <c r="N525" s="1107"/>
    </row>
    <row r="526" spans="1:16" s="761" customFormat="1" ht="18" customHeight="1" x14ac:dyDescent="0.3">
      <c r="A526" s="716">
        <v>518</v>
      </c>
      <c r="B526" s="757"/>
      <c r="C526" s="758"/>
      <c r="D526" s="377" t="s">
        <v>858</v>
      </c>
      <c r="E526" s="759"/>
      <c r="F526" s="759"/>
      <c r="G526" s="1366"/>
      <c r="H526" s="760"/>
      <c r="I526" s="443">
        <f>SUM(J526:Q526)</f>
        <v>65000</v>
      </c>
      <c r="J526" s="741"/>
      <c r="K526" s="741"/>
      <c r="L526" s="741"/>
      <c r="M526" s="741"/>
      <c r="N526" s="1104">
        <f>SUM(N524:N525)</f>
        <v>65000</v>
      </c>
    </row>
    <row r="527" spans="1:16" s="733" customFormat="1" ht="22.5" customHeight="1" x14ac:dyDescent="0.3">
      <c r="A527" s="716">
        <v>519</v>
      </c>
      <c r="B527" s="744"/>
      <c r="C527" s="745">
        <v>77</v>
      </c>
      <c r="D527" s="746" t="s">
        <v>505</v>
      </c>
      <c r="E527" s="736">
        <v>110364</v>
      </c>
      <c r="F527" s="736">
        <v>135364</v>
      </c>
      <c r="G527" s="737">
        <v>218364</v>
      </c>
      <c r="H527" s="738" t="s">
        <v>24</v>
      </c>
      <c r="I527" s="739"/>
      <c r="J527" s="740"/>
      <c r="K527" s="740"/>
      <c r="L527" s="740"/>
      <c r="M527" s="740"/>
      <c r="N527" s="742"/>
      <c r="P527" s="743"/>
    </row>
    <row r="528" spans="1:16" s="733" customFormat="1" ht="20.100000000000001" customHeight="1" x14ac:dyDescent="0.3">
      <c r="A528" s="716">
        <v>520</v>
      </c>
      <c r="B528" s="744"/>
      <c r="C528" s="745"/>
      <c r="D528" s="241" t="s">
        <v>245</v>
      </c>
      <c r="E528" s="736"/>
      <c r="F528" s="736"/>
      <c r="G528" s="737"/>
      <c r="H528" s="738"/>
      <c r="I528" s="739">
        <f>SUM(J528:N528)</f>
        <v>140364</v>
      </c>
      <c r="J528" s="740"/>
      <c r="K528" s="740"/>
      <c r="L528" s="740"/>
      <c r="M528" s="740"/>
      <c r="N528" s="750">
        <v>140364</v>
      </c>
      <c r="P528" s="743"/>
    </row>
    <row r="529" spans="1:16" s="733" customFormat="1" ht="18" customHeight="1" x14ac:dyDescent="0.3">
      <c r="A529" s="716">
        <v>521</v>
      </c>
      <c r="B529" s="744"/>
      <c r="C529" s="745"/>
      <c r="D529" s="377" t="s">
        <v>810</v>
      </c>
      <c r="E529" s="736"/>
      <c r="F529" s="736"/>
      <c r="G529" s="737"/>
      <c r="H529" s="738"/>
      <c r="I529" s="1446">
        <f>SUM(J529:N529)</f>
        <v>200728</v>
      </c>
      <c r="J529" s="1103"/>
      <c r="K529" s="1103"/>
      <c r="L529" s="1103"/>
      <c r="M529" s="1103"/>
      <c r="N529" s="1104">
        <v>200728</v>
      </c>
      <c r="P529" s="743"/>
    </row>
    <row r="530" spans="1:16" s="733" customFormat="1" ht="20.100000000000001" customHeight="1" x14ac:dyDescent="0.3">
      <c r="A530" s="716">
        <v>522</v>
      </c>
      <c r="B530" s="744"/>
      <c r="C530" s="745"/>
      <c r="D530" s="910" t="s">
        <v>652</v>
      </c>
      <c r="E530" s="736"/>
      <c r="F530" s="736"/>
      <c r="G530" s="737"/>
      <c r="H530" s="738"/>
      <c r="I530" s="299">
        <f>SUM(J530:Q530)</f>
        <v>0</v>
      </c>
      <c r="J530" s="1105"/>
      <c r="K530" s="1105"/>
      <c r="L530" s="1105"/>
      <c r="M530" s="1105"/>
      <c r="N530" s="1115"/>
      <c r="P530" s="743"/>
    </row>
    <row r="531" spans="1:16" s="733" customFormat="1" ht="20.100000000000001" customHeight="1" x14ac:dyDescent="0.3">
      <c r="A531" s="716">
        <v>523</v>
      </c>
      <c r="B531" s="744"/>
      <c r="C531" s="745"/>
      <c r="D531" s="377" t="s">
        <v>858</v>
      </c>
      <c r="E531" s="736"/>
      <c r="F531" s="736"/>
      <c r="G531" s="737"/>
      <c r="H531" s="738"/>
      <c r="I531" s="443">
        <f>SUM(J531:Q531)</f>
        <v>200728</v>
      </c>
      <c r="J531" s="740"/>
      <c r="K531" s="740"/>
      <c r="L531" s="740"/>
      <c r="M531" s="740"/>
      <c r="N531" s="1104">
        <f>SUM(N529:N530)</f>
        <v>200728</v>
      </c>
      <c r="P531" s="743"/>
    </row>
    <row r="532" spans="1:16" s="733" customFormat="1" ht="22.5" customHeight="1" x14ac:dyDescent="0.3">
      <c r="A532" s="716">
        <v>524</v>
      </c>
      <c r="B532" s="744"/>
      <c r="C532" s="745">
        <v>78</v>
      </c>
      <c r="D532" s="746" t="s">
        <v>562</v>
      </c>
      <c r="E532" s="736">
        <v>15576</v>
      </c>
      <c r="F532" s="736">
        <v>336000</v>
      </c>
      <c r="G532" s="737">
        <v>57673</v>
      </c>
      <c r="H532" s="738" t="s">
        <v>24</v>
      </c>
      <c r="I532" s="739"/>
      <c r="J532" s="740"/>
      <c r="K532" s="740"/>
      <c r="L532" s="740"/>
      <c r="M532" s="740"/>
      <c r="N532" s="742"/>
      <c r="P532" s="743"/>
    </row>
    <row r="533" spans="1:16" s="733" customFormat="1" ht="18" customHeight="1" x14ac:dyDescent="0.3">
      <c r="A533" s="716">
        <v>525</v>
      </c>
      <c r="B533" s="744"/>
      <c r="C533" s="745"/>
      <c r="D533" s="377" t="s">
        <v>810</v>
      </c>
      <c r="E533" s="736"/>
      <c r="F533" s="736"/>
      <c r="G533" s="737"/>
      <c r="H533" s="738"/>
      <c r="I533" s="443">
        <f>SUM(J533:Q533)</f>
        <v>10000</v>
      </c>
      <c r="J533" s="740"/>
      <c r="K533" s="740"/>
      <c r="L533" s="1099">
        <v>10000</v>
      </c>
      <c r="M533" s="740"/>
      <c r="N533" s="742"/>
      <c r="P533" s="743"/>
    </row>
    <row r="534" spans="1:16" s="733" customFormat="1" ht="20.100000000000001" customHeight="1" x14ac:dyDescent="0.3">
      <c r="A534" s="716">
        <v>526</v>
      </c>
      <c r="B534" s="744"/>
      <c r="C534" s="745"/>
      <c r="D534" s="910" t="s">
        <v>652</v>
      </c>
      <c r="E534" s="736"/>
      <c r="F534" s="736"/>
      <c r="G534" s="737"/>
      <c r="H534" s="738"/>
      <c r="I534" s="299">
        <f>SUM(J534:Q534)</f>
        <v>0</v>
      </c>
      <c r="J534" s="740"/>
      <c r="K534" s="740"/>
      <c r="L534" s="1105"/>
      <c r="M534" s="740"/>
      <c r="N534" s="742"/>
      <c r="P534" s="743"/>
    </row>
    <row r="535" spans="1:16" s="733" customFormat="1" ht="20.100000000000001" customHeight="1" x14ac:dyDescent="0.3">
      <c r="A535" s="716">
        <v>527</v>
      </c>
      <c r="B535" s="744"/>
      <c r="C535" s="745"/>
      <c r="D535" s="377" t="s">
        <v>858</v>
      </c>
      <c r="E535" s="736"/>
      <c r="F535" s="736"/>
      <c r="G535" s="737"/>
      <c r="H535" s="738"/>
      <c r="I535" s="443">
        <f>SUM(J535:Q535)</f>
        <v>10000</v>
      </c>
      <c r="J535" s="740"/>
      <c r="K535" s="740"/>
      <c r="L535" s="1099">
        <f>SUM(L533:L534)</f>
        <v>10000</v>
      </c>
      <c r="M535" s="740"/>
      <c r="N535" s="742"/>
      <c r="P535" s="743"/>
    </row>
    <row r="536" spans="1:16" s="733" customFormat="1" ht="22.5" customHeight="1" x14ac:dyDescent="0.3">
      <c r="A536" s="716">
        <v>528</v>
      </c>
      <c r="B536" s="744"/>
      <c r="C536" s="745">
        <v>79</v>
      </c>
      <c r="D536" s="746" t="s">
        <v>76</v>
      </c>
      <c r="E536" s="736">
        <v>22000</v>
      </c>
      <c r="F536" s="736">
        <v>38913</v>
      </c>
      <c r="G536" s="737">
        <v>35398</v>
      </c>
      <c r="H536" s="738" t="s">
        <v>23</v>
      </c>
      <c r="I536" s="739"/>
      <c r="J536" s="740"/>
      <c r="K536" s="740"/>
      <c r="L536" s="740"/>
      <c r="M536" s="740"/>
      <c r="N536" s="742"/>
      <c r="P536" s="743"/>
    </row>
    <row r="537" spans="1:16" s="761" customFormat="1" ht="18" customHeight="1" x14ac:dyDescent="0.3">
      <c r="A537" s="716">
        <v>529</v>
      </c>
      <c r="B537" s="757"/>
      <c r="C537" s="758"/>
      <c r="D537" s="241" t="s">
        <v>245</v>
      </c>
      <c r="E537" s="759"/>
      <c r="F537" s="759"/>
      <c r="G537" s="1366"/>
      <c r="H537" s="760"/>
      <c r="I537" s="739">
        <f>SUM(J537:N537)</f>
        <v>47406</v>
      </c>
      <c r="J537" s="741"/>
      <c r="K537" s="741"/>
      <c r="L537" s="741">
        <f>43891+3515</f>
        <v>47406</v>
      </c>
      <c r="M537" s="741"/>
      <c r="N537" s="750"/>
    </row>
    <row r="538" spans="1:16" s="761" customFormat="1" ht="18" customHeight="1" x14ac:dyDescent="0.3">
      <c r="A538" s="716">
        <v>530</v>
      </c>
      <c r="B538" s="757"/>
      <c r="C538" s="758"/>
      <c r="D538" s="377" t="s">
        <v>810</v>
      </c>
      <c r="E538" s="759"/>
      <c r="F538" s="759"/>
      <c r="G538" s="1366"/>
      <c r="H538" s="760"/>
      <c r="I538" s="1446">
        <f>SUM(J538:N538)</f>
        <v>47406</v>
      </c>
      <c r="J538" s="1099"/>
      <c r="K538" s="1099"/>
      <c r="L538" s="1099">
        <v>47406</v>
      </c>
      <c r="M538" s="741"/>
      <c r="N538" s="750"/>
    </row>
    <row r="539" spans="1:16" s="761" customFormat="1" ht="18" customHeight="1" x14ac:dyDescent="0.3">
      <c r="A539" s="716">
        <v>531</v>
      </c>
      <c r="B539" s="757"/>
      <c r="C539" s="758"/>
      <c r="D539" s="910" t="s">
        <v>652</v>
      </c>
      <c r="E539" s="759"/>
      <c r="F539" s="759"/>
      <c r="G539" s="1366"/>
      <c r="H539" s="760"/>
      <c r="I539" s="296">
        <f>SUM(J539:Q539)</f>
        <v>0</v>
      </c>
      <c r="J539" s="1105"/>
      <c r="K539" s="1105"/>
      <c r="L539" s="1105"/>
      <c r="M539" s="1105"/>
      <c r="N539" s="1115"/>
    </row>
    <row r="540" spans="1:16" s="761" customFormat="1" ht="18" customHeight="1" x14ac:dyDescent="0.3">
      <c r="A540" s="716">
        <v>532</v>
      </c>
      <c r="B540" s="757"/>
      <c r="C540" s="758"/>
      <c r="D540" s="377" t="s">
        <v>858</v>
      </c>
      <c r="E540" s="759"/>
      <c r="F540" s="759"/>
      <c r="G540" s="1366"/>
      <c r="H540" s="760"/>
      <c r="I540" s="443">
        <f>SUM(J540:Q540)</f>
        <v>47406</v>
      </c>
      <c r="J540" s="741"/>
      <c r="K540" s="741"/>
      <c r="L540" s="1099">
        <f>SUM(L538:L539)</f>
        <v>47406</v>
      </c>
      <c r="M540" s="741"/>
      <c r="N540" s="750"/>
    </row>
    <row r="541" spans="1:16" s="733" customFormat="1" ht="22.5" customHeight="1" x14ac:dyDescent="0.3">
      <c r="A541" s="716">
        <v>533</v>
      </c>
      <c r="B541" s="744"/>
      <c r="C541" s="745">
        <v>81</v>
      </c>
      <c r="D541" s="746" t="s">
        <v>77</v>
      </c>
      <c r="E541" s="736"/>
      <c r="F541" s="736">
        <v>102870</v>
      </c>
      <c r="G541" s="737">
        <v>21631</v>
      </c>
      <c r="H541" s="738" t="s">
        <v>24</v>
      </c>
      <c r="I541" s="739"/>
      <c r="J541" s="740"/>
      <c r="K541" s="740"/>
      <c r="L541" s="740"/>
      <c r="M541" s="740"/>
      <c r="N541" s="742"/>
      <c r="P541" s="743"/>
    </row>
    <row r="542" spans="1:16" s="733" customFormat="1" ht="18" customHeight="1" x14ac:dyDescent="0.3">
      <c r="A542" s="716">
        <v>534</v>
      </c>
      <c r="B542" s="744"/>
      <c r="C542" s="745"/>
      <c r="D542" s="241" t="s">
        <v>245</v>
      </c>
      <c r="E542" s="736"/>
      <c r="F542" s="736"/>
      <c r="G542" s="737"/>
      <c r="H542" s="738"/>
      <c r="I542" s="739">
        <f>SUM(J542:N542)</f>
        <v>118173</v>
      </c>
      <c r="J542" s="740"/>
      <c r="K542" s="740"/>
      <c r="L542" s="741">
        <f>114173+4000</f>
        <v>118173</v>
      </c>
      <c r="M542" s="740"/>
      <c r="N542" s="742"/>
      <c r="P542" s="743"/>
    </row>
    <row r="543" spans="1:16" s="733" customFormat="1" ht="18" customHeight="1" x14ac:dyDescent="0.3">
      <c r="A543" s="716">
        <v>535</v>
      </c>
      <c r="B543" s="744"/>
      <c r="C543" s="745"/>
      <c r="D543" s="377" t="s">
        <v>810</v>
      </c>
      <c r="E543" s="736"/>
      <c r="F543" s="736"/>
      <c r="G543" s="737"/>
      <c r="H543" s="738"/>
      <c r="I543" s="1446">
        <f>SUM(J543:N543)</f>
        <v>118173</v>
      </c>
      <c r="J543" s="1103"/>
      <c r="K543" s="1103"/>
      <c r="L543" s="1099">
        <v>118173</v>
      </c>
      <c r="M543" s="740"/>
      <c r="N543" s="742"/>
      <c r="P543" s="743"/>
    </row>
    <row r="544" spans="1:16" s="733" customFormat="1" ht="18" customHeight="1" x14ac:dyDescent="0.3">
      <c r="A544" s="716">
        <v>536</v>
      </c>
      <c r="B544" s="744"/>
      <c r="C544" s="745"/>
      <c r="D544" s="910" t="s">
        <v>652</v>
      </c>
      <c r="E544" s="736"/>
      <c r="F544" s="736"/>
      <c r="G544" s="737"/>
      <c r="H544" s="738"/>
      <c r="I544" s="296">
        <f>SUM(J544:Q544)</f>
        <v>0</v>
      </c>
      <c r="J544" s="1105"/>
      <c r="K544" s="1105"/>
      <c r="L544" s="1106"/>
      <c r="M544" s="1105"/>
      <c r="N544" s="1115"/>
      <c r="P544" s="743"/>
    </row>
    <row r="545" spans="1:16" s="733" customFormat="1" ht="18" customHeight="1" x14ac:dyDescent="0.3">
      <c r="A545" s="716">
        <v>537</v>
      </c>
      <c r="B545" s="744"/>
      <c r="C545" s="745"/>
      <c r="D545" s="377" t="s">
        <v>858</v>
      </c>
      <c r="E545" s="736"/>
      <c r="F545" s="736"/>
      <c r="G545" s="737"/>
      <c r="H545" s="738"/>
      <c r="I545" s="443">
        <f>SUM(J545:Q545)</f>
        <v>118173</v>
      </c>
      <c r="J545" s="740"/>
      <c r="K545" s="740"/>
      <c r="L545" s="1099">
        <f>SUM(L543:L544)</f>
        <v>118173</v>
      </c>
      <c r="M545" s="740"/>
      <c r="N545" s="742"/>
      <c r="P545" s="743"/>
    </row>
    <row r="546" spans="1:16" s="733" customFormat="1" ht="22.5" customHeight="1" x14ac:dyDescent="0.3">
      <c r="A546" s="716">
        <v>538</v>
      </c>
      <c r="B546" s="744"/>
      <c r="C546" s="745">
        <v>82</v>
      </c>
      <c r="D546" s="746" t="s">
        <v>363</v>
      </c>
      <c r="E546" s="736">
        <v>95000</v>
      </c>
      <c r="F546" s="736">
        <v>140200</v>
      </c>
      <c r="G546" s="737">
        <v>140200</v>
      </c>
      <c r="H546" s="738" t="s">
        <v>24</v>
      </c>
      <c r="I546" s="739"/>
      <c r="J546" s="740"/>
      <c r="K546" s="740"/>
      <c r="L546" s="740"/>
      <c r="M546" s="740"/>
      <c r="N546" s="742"/>
      <c r="P546" s="743"/>
    </row>
    <row r="547" spans="1:16" s="761" customFormat="1" ht="18" customHeight="1" x14ac:dyDescent="0.3">
      <c r="A547" s="716">
        <v>539</v>
      </c>
      <c r="B547" s="757"/>
      <c r="C547" s="758"/>
      <c r="D547" s="241" t="s">
        <v>245</v>
      </c>
      <c r="E547" s="759"/>
      <c r="F547" s="759"/>
      <c r="G547" s="1366"/>
      <c r="H547" s="760"/>
      <c r="I547" s="739">
        <f>SUM(J547:N547)</f>
        <v>98000</v>
      </c>
      <c r="J547" s="741"/>
      <c r="K547" s="741"/>
      <c r="L547" s="741"/>
      <c r="M547" s="741"/>
      <c r="N547" s="750">
        <v>98000</v>
      </c>
    </row>
    <row r="548" spans="1:16" s="761" customFormat="1" ht="18" customHeight="1" x14ac:dyDescent="0.3">
      <c r="A548" s="716">
        <v>540</v>
      </c>
      <c r="B548" s="757"/>
      <c r="C548" s="758"/>
      <c r="D548" s="377" t="s">
        <v>810</v>
      </c>
      <c r="E548" s="759"/>
      <c r="F548" s="759"/>
      <c r="G548" s="1366"/>
      <c r="H548" s="760"/>
      <c r="I548" s="1446">
        <f>SUM(J548:N548)</f>
        <v>98000</v>
      </c>
      <c r="J548" s="1099"/>
      <c r="K548" s="1099"/>
      <c r="L548" s="1099"/>
      <c r="M548" s="1099"/>
      <c r="N548" s="1104">
        <v>98000</v>
      </c>
    </row>
    <row r="549" spans="1:16" s="761" customFormat="1" ht="18" customHeight="1" x14ac:dyDescent="0.3">
      <c r="A549" s="716">
        <v>541</v>
      </c>
      <c r="B549" s="757"/>
      <c r="C549" s="758"/>
      <c r="D549" s="910" t="s">
        <v>652</v>
      </c>
      <c r="E549" s="759"/>
      <c r="F549" s="759"/>
      <c r="G549" s="1366"/>
      <c r="H549" s="760"/>
      <c r="I549" s="296">
        <f>SUM(J549:Q549)</f>
        <v>0</v>
      </c>
      <c r="J549" s="1105"/>
      <c r="K549" s="1105"/>
      <c r="L549" s="1105"/>
      <c r="M549" s="1105"/>
      <c r="N549" s="1115"/>
    </row>
    <row r="550" spans="1:16" s="761" customFormat="1" ht="18" customHeight="1" x14ac:dyDescent="0.3">
      <c r="A550" s="716">
        <v>542</v>
      </c>
      <c r="B550" s="757"/>
      <c r="C550" s="758"/>
      <c r="D550" s="377" t="s">
        <v>858</v>
      </c>
      <c r="E550" s="759"/>
      <c r="F550" s="759"/>
      <c r="G550" s="1366"/>
      <c r="H550" s="760"/>
      <c r="I550" s="443">
        <f>SUM(J550:Q550)</f>
        <v>98000</v>
      </c>
      <c r="J550" s="741"/>
      <c r="K550" s="741"/>
      <c r="L550" s="741"/>
      <c r="M550" s="741"/>
      <c r="N550" s="1104">
        <f>SUM(N548:N549)</f>
        <v>98000</v>
      </c>
    </row>
    <row r="551" spans="1:16" s="733" customFormat="1" ht="32.25" customHeight="1" x14ac:dyDescent="0.3">
      <c r="A551" s="716">
        <v>543</v>
      </c>
      <c r="B551" s="744"/>
      <c r="C551" s="763">
        <v>83</v>
      </c>
      <c r="D551" s="727" t="s">
        <v>506</v>
      </c>
      <c r="E551" s="736">
        <v>17785</v>
      </c>
      <c r="F551" s="736">
        <v>61213</v>
      </c>
      <c r="G551" s="737">
        <v>17294</v>
      </c>
      <c r="H551" s="738" t="s">
        <v>24</v>
      </c>
      <c r="I551" s="739"/>
      <c r="J551" s="740"/>
      <c r="K551" s="740"/>
      <c r="L551" s="740"/>
      <c r="M551" s="740"/>
      <c r="N551" s="750"/>
      <c r="P551" s="743"/>
    </row>
    <row r="552" spans="1:16" s="761" customFormat="1" ht="18" customHeight="1" x14ac:dyDescent="0.3">
      <c r="A552" s="716">
        <v>544</v>
      </c>
      <c r="B552" s="757"/>
      <c r="C552" s="758"/>
      <c r="D552" s="241" t="s">
        <v>245</v>
      </c>
      <c r="E552" s="759"/>
      <c r="F552" s="759"/>
      <c r="G552" s="1366"/>
      <c r="H552" s="760"/>
      <c r="I552" s="739">
        <f>SUM(J552:N552)</f>
        <v>23719</v>
      </c>
      <c r="J552" s="741"/>
      <c r="K552" s="741"/>
      <c r="L552" s="741">
        <f>15000+8719</f>
        <v>23719</v>
      </c>
      <c r="M552" s="741"/>
      <c r="N552" s="750"/>
    </row>
    <row r="553" spans="1:16" s="761" customFormat="1" ht="18" customHeight="1" x14ac:dyDescent="0.3">
      <c r="A553" s="716">
        <v>545</v>
      </c>
      <c r="B553" s="757"/>
      <c r="C553" s="758"/>
      <c r="D553" s="377" t="s">
        <v>810</v>
      </c>
      <c r="E553" s="759"/>
      <c r="F553" s="759"/>
      <c r="G553" s="1366"/>
      <c r="H553" s="760"/>
      <c r="I553" s="1446">
        <f>SUM(J553:N553)</f>
        <v>19219</v>
      </c>
      <c r="J553" s="1099"/>
      <c r="K553" s="1099"/>
      <c r="L553" s="1099">
        <v>19219</v>
      </c>
      <c r="M553" s="741"/>
      <c r="N553" s="750"/>
    </row>
    <row r="554" spans="1:16" s="761" customFormat="1" ht="18" customHeight="1" x14ac:dyDescent="0.3">
      <c r="A554" s="716">
        <v>546</v>
      </c>
      <c r="B554" s="757"/>
      <c r="C554" s="758"/>
      <c r="D554" s="910" t="s">
        <v>652</v>
      </c>
      <c r="E554" s="759"/>
      <c r="F554" s="759"/>
      <c r="G554" s="1366"/>
      <c r="H554" s="760"/>
      <c r="I554" s="296">
        <f>SUM(J554:Q554)</f>
        <v>0</v>
      </c>
      <c r="J554" s="1105"/>
      <c r="K554" s="1105"/>
      <c r="L554" s="1105"/>
      <c r="M554" s="1105"/>
      <c r="N554" s="1115"/>
    </row>
    <row r="555" spans="1:16" s="761" customFormat="1" ht="18" customHeight="1" x14ac:dyDescent="0.3">
      <c r="A555" s="716">
        <v>547</v>
      </c>
      <c r="B555" s="757"/>
      <c r="C555" s="758"/>
      <c r="D555" s="377" t="s">
        <v>858</v>
      </c>
      <c r="E555" s="759"/>
      <c r="F555" s="759"/>
      <c r="G555" s="1366"/>
      <c r="H555" s="760"/>
      <c r="I555" s="443">
        <f>SUM(J555:Q555)</f>
        <v>19219</v>
      </c>
      <c r="J555" s="741"/>
      <c r="K555" s="741"/>
      <c r="L555" s="1099">
        <f>SUM(L553:L554)</f>
        <v>19219</v>
      </c>
      <c r="M555" s="741"/>
      <c r="N555" s="750"/>
    </row>
    <row r="556" spans="1:16" s="743" customFormat="1" ht="22.5" customHeight="1" x14ac:dyDescent="0.3">
      <c r="A556" s="716">
        <v>548</v>
      </c>
      <c r="B556" s="734"/>
      <c r="C556" s="745">
        <v>84</v>
      </c>
      <c r="D556" s="727" t="s">
        <v>627</v>
      </c>
      <c r="E556" s="736"/>
      <c r="F556" s="736">
        <v>7500</v>
      </c>
      <c r="G556" s="737">
        <v>6186</v>
      </c>
      <c r="H556" s="738" t="s">
        <v>24</v>
      </c>
      <c r="I556" s="739"/>
      <c r="J556" s="740"/>
      <c r="K556" s="740"/>
      <c r="L556" s="740"/>
      <c r="M556" s="740"/>
      <c r="N556" s="742"/>
    </row>
    <row r="557" spans="1:16" s="743" customFormat="1" ht="22.5" customHeight="1" x14ac:dyDescent="0.3">
      <c r="A557" s="716">
        <v>549</v>
      </c>
      <c r="B557" s="734"/>
      <c r="C557" s="745">
        <v>85</v>
      </c>
      <c r="D557" s="746" t="s">
        <v>54</v>
      </c>
      <c r="E557" s="736"/>
      <c r="F557" s="736">
        <v>11000</v>
      </c>
      <c r="G557" s="737">
        <v>11000</v>
      </c>
      <c r="H557" s="729" t="s">
        <v>24</v>
      </c>
      <c r="I557" s="751"/>
      <c r="J557" s="752"/>
      <c r="K557" s="752"/>
      <c r="L557" s="752"/>
      <c r="M557" s="752"/>
      <c r="N557" s="753"/>
    </row>
    <row r="558" spans="1:16" s="743" customFormat="1" ht="18" customHeight="1" x14ac:dyDescent="0.3">
      <c r="A558" s="716">
        <v>550</v>
      </c>
      <c r="B558" s="734"/>
      <c r="C558" s="745"/>
      <c r="D558" s="241" t="s">
        <v>245</v>
      </c>
      <c r="E558" s="736"/>
      <c r="F558" s="736"/>
      <c r="G558" s="737"/>
      <c r="H558" s="729"/>
      <c r="I558" s="739">
        <f>SUM(J558:N558)</f>
        <v>5000</v>
      </c>
      <c r="J558" s="752"/>
      <c r="K558" s="752"/>
      <c r="L558" s="752"/>
      <c r="M558" s="752"/>
      <c r="N558" s="755">
        <v>5000</v>
      </c>
    </row>
    <row r="559" spans="1:16" s="743" customFormat="1" ht="18" customHeight="1" x14ac:dyDescent="0.3">
      <c r="A559" s="716">
        <v>551</v>
      </c>
      <c r="B559" s="734"/>
      <c r="C559" s="745"/>
      <c r="D559" s="377" t="s">
        <v>810</v>
      </c>
      <c r="E559" s="736"/>
      <c r="F559" s="736"/>
      <c r="G559" s="737"/>
      <c r="H559" s="729"/>
      <c r="I559" s="1446">
        <f>SUM(J559:N559)</f>
        <v>5000</v>
      </c>
      <c r="J559" s="1447"/>
      <c r="K559" s="1447"/>
      <c r="L559" s="1447"/>
      <c r="M559" s="1447"/>
      <c r="N559" s="1108">
        <v>5000</v>
      </c>
    </row>
    <row r="560" spans="1:16" s="743" customFormat="1" ht="18" customHeight="1" x14ac:dyDescent="0.3">
      <c r="A560" s="716">
        <v>552</v>
      </c>
      <c r="B560" s="734"/>
      <c r="C560" s="745"/>
      <c r="D560" s="910" t="s">
        <v>652</v>
      </c>
      <c r="E560" s="736"/>
      <c r="F560" s="736"/>
      <c r="G560" s="737"/>
      <c r="H560" s="729"/>
      <c r="I560" s="296">
        <f>SUM(J560:Q560)</f>
        <v>0</v>
      </c>
      <c r="J560" s="1110"/>
      <c r="K560" s="1110"/>
      <c r="L560" s="1110"/>
      <c r="M560" s="1110"/>
      <c r="N560" s="1111"/>
    </row>
    <row r="561" spans="1:16" s="743" customFormat="1" ht="18" customHeight="1" x14ac:dyDescent="0.3">
      <c r="A561" s="716">
        <v>553</v>
      </c>
      <c r="B561" s="734"/>
      <c r="C561" s="745"/>
      <c r="D561" s="377" t="s">
        <v>858</v>
      </c>
      <c r="E561" s="736"/>
      <c r="F561" s="736"/>
      <c r="G561" s="737"/>
      <c r="H561" s="729"/>
      <c r="I561" s="443">
        <f>SUM(J561:Q561)</f>
        <v>5000</v>
      </c>
      <c r="J561" s="752"/>
      <c r="K561" s="752"/>
      <c r="L561" s="752"/>
      <c r="M561" s="752"/>
      <c r="N561" s="1108">
        <f>SUM(N559:N560)</f>
        <v>5000</v>
      </c>
    </row>
    <row r="562" spans="1:16" s="733" customFormat="1" ht="22.5" customHeight="1" x14ac:dyDescent="0.3">
      <c r="A562" s="716">
        <v>554</v>
      </c>
      <c r="B562" s="744"/>
      <c r="C562" s="745">
        <v>86</v>
      </c>
      <c r="D562" s="746" t="s">
        <v>78</v>
      </c>
      <c r="E562" s="736">
        <v>767</v>
      </c>
      <c r="F562" s="736">
        <v>2100</v>
      </c>
      <c r="G562" s="737">
        <v>1541</v>
      </c>
      <c r="H562" s="738" t="s">
        <v>23</v>
      </c>
      <c r="I562" s="739"/>
      <c r="J562" s="740"/>
      <c r="K562" s="740"/>
      <c r="L562" s="740"/>
      <c r="M562" s="740"/>
      <c r="N562" s="742"/>
      <c r="P562" s="743"/>
    </row>
    <row r="563" spans="1:16" s="761" customFormat="1" ht="18" customHeight="1" x14ac:dyDescent="0.3">
      <c r="A563" s="716">
        <v>555</v>
      </c>
      <c r="B563" s="757"/>
      <c r="C563" s="758"/>
      <c r="D563" s="241" t="s">
        <v>245</v>
      </c>
      <c r="E563" s="759"/>
      <c r="F563" s="759"/>
      <c r="G563" s="1366"/>
      <c r="H563" s="760"/>
      <c r="I563" s="739">
        <f>SUM(J563:N563)</f>
        <v>6237</v>
      </c>
      <c r="J563" s="741">
        <f>500+676</f>
        <v>1176</v>
      </c>
      <c r="K563" s="741">
        <f>300+500</f>
        <v>800</v>
      </c>
      <c r="L563" s="741">
        <f>1500+2761</f>
        <v>4261</v>
      </c>
      <c r="M563" s="741"/>
      <c r="N563" s="750"/>
    </row>
    <row r="564" spans="1:16" s="761" customFormat="1" ht="18" customHeight="1" x14ac:dyDescent="0.3">
      <c r="A564" s="716">
        <v>556</v>
      </c>
      <c r="B564" s="757"/>
      <c r="C564" s="758"/>
      <c r="D564" s="377" t="s">
        <v>810</v>
      </c>
      <c r="E564" s="759"/>
      <c r="F564" s="759"/>
      <c r="G564" s="1366"/>
      <c r="H564" s="760"/>
      <c r="I564" s="1446">
        <f>SUM(J564:N564)</f>
        <v>6237</v>
      </c>
      <c r="J564" s="1099">
        <v>1176</v>
      </c>
      <c r="K564" s="1099">
        <v>800</v>
      </c>
      <c r="L564" s="1099">
        <v>4261</v>
      </c>
      <c r="M564" s="741"/>
      <c r="N564" s="750"/>
    </row>
    <row r="565" spans="1:16" s="761" customFormat="1" ht="18" customHeight="1" x14ac:dyDescent="0.3">
      <c r="A565" s="716">
        <v>557</v>
      </c>
      <c r="B565" s="757"/>
      <c r="C565" s="758"/>
      <c r="D565" s="910" t="s">
        <v>652</v>
      </c>
      <c r="E565" s="759"/>
      <c r="F565" s="759"/>
      <c r="G565" s="1366"/>
      <c r="H565" s="760"/>
      <c r="I565" s="296">
        <f>SUM(J565:Q565)</f>
        <v>0</v>
      </c>
      <c r="J565" s="1105"/>
      <c r="K565" s="1105"/>
      <c r="L565" s="1105"/>
      <c r="M565" s="741"/>
      <c r="N565" s="750"/>
    </row>
    <row r="566" spans="1:16" s="761" customFormat="1" ht="18" customHeight="1" x14ac:dyDescent="0.3">
      <c r="A566" s="716">
        <v>558</v>
      </c>
      <c r="B566" s="757"/>
      <c r="C566" s="758"/>
      <c r="D566" s="377" t="s">
        <v>858</v>
      </c>
      <c r="E566" s="759"/>
      <c r="F566" s="759"/>
      <c r="G566" s="1366"/>
      <c r="H566" s="760"/>
      <c r="I566" s="443">
        <f>SUM(J566:Q566)</f>
        <v>6237</v>
      </c>
      <c r="J566" s="1099">
        <f>SUM(J564:J565)</f>
        <v>1176</v>
      </c>
      <c r="K566" s="1099">
        <f t="shared" ref="K566:L566" si="29">SUM(K564:K565)</f>
        <v>800</v>
      </c>
      <c r="L566" s="1099">
        <f t="shared" si="29"/>
        <v>4261</v>
      </c>
      <c r="M566" s="741"/>
      <c r="N566" s="750"/>
    </row>
    <row r="567" spans="1:16" s="743" customFormat="1" ht="22.5" customHeight="1" x14ac:dyDescent="0.3">
      <c r="A567" s="716">
        <v>559</v>
      </c>
      <c r="B567" s="734"/>
      <c r="C567" s="745">
        <v>87</v>
      </c>
      <c r="D567" s="727" t="s">
        <v>683</v>
      </c>
      <c r="E567" s="736">
        <v>1288</v>
      </c>
      <c r="F567" s="736">
        <v>2319</v>
      </c>
      <c r="G567" s="737">
        <v>2514</v>
      </c>
      <c r="H567" s="738" t="s">
        <v>24</v>
      </c>
      <c r="I567" s="739"/>
      <c r="J567" s="740"/>
      <c r="K567" s="740"/>
      <c r="L567" s="740"/>
      <c r="M567" s="740"/>
      <c r="N567" s="742"/>
    </row>
    <row r="568" spans="1:16" s="761" customFormat="1" ht="18" customHeight="1" x14ac:dyDescent="0.3">
      <c r="A568" s="716">
        <v>560</v>
      </c>
      <c r="B568" s="757"/>
      <c r="C568" s="758"/>
      <c r="D568" s="241" t="s">
        <v>245</v>
      </c>
      <c r="E568" s="759"/>
      <c r="F568" s="759"/>
      <c r="G568" s="1366"/>
      <c r="H568" s="760"/>
      <c r="I568" s="739">
        <f>SUM(J568:N568)</f>
        <v>3594</v>
      </c>
      <c r="J568" s="741"/>
      <c r="K568" s="741"/>
      <c r="L568" s="741">
        <v>3594</v>
      </c>
      <c r="M568" s="741"/>
      <c r="N568" s="750"/>
    </row>
    <row r="569" spans="1:16" s="761" customFormat="1" ht="18" customHeight="1" x14ac:dyDescent="0.3">
      <c r="A569" s="716">
        <v>561</v>
      </c>
      <c r="B569" s="757"/>
      <c r="C569" s="758"/>
      <c r="D569" s="377" t="s">
        <v>810</v>
      </c>
      <c r="E569" s="759"/>
      <c r="F569" s="759"/>
      <c r="G569" s="1366"/>
      <c r="H569" s="760"/>
      <c r="I569" s="1446">
        <f>SUM(J569:N569)</f>
        <v>5952</v>
      </c>
      <c r="J569" s="1099"/>
      <c r="K569" s="1099"/>
      <c r="L569" s="1099">
        <v>5952</v>
      </c>
      <c r="M569" s="741"/>
      <c r="N569" s="750"/>
    </row>
    <row r="570" spans="1:16" s="761" customFormat="1" ht="18" customHeight="1" x14ac:dyDescent="0.3">
      <c r="A570" s="716">
        <v>562</v>
      </c>
      <c r="B570" s="757"/>
      <c r="C570" s="758"/>
      <c r="D570" s="910" t="s">
        <v>652</v>
      </c>
      <c r="E570" s="759"/>
      <c r="F570" s="759"/>
      <c r="G570" s="1366"/>
      <c r="H570" s="760"/>
      <c r="I570" s="296">
        <f>SUM(J570:Q570)</f>
        <v>0</v>
      </c>
      <c r="J570" s="1105"/>
      <c r="K570" s="1105"/>
      <c r="L570" s="1105"/>
      <c r="M570" s="741"/>
      <c r="N570" s="750"/>
    </row>
    <row r="571" spans="1:16" s="761" customFormat="1" ht="18" customHeight="1" x14ac:dyDescent="0.3">
      <c r="A571" s="716">
        <v>563</v>
      </c>
      <c r="B571" s="757"/>
      <c r="C571" s="758"/>
      <c r="D571" s="377" t="s">
        <v>858</v>
      </c>
      <c r="E571" s="759"/>
      <c r="F571" s="759"/>
      <c r="G571" s="1366"/>
      <c r="H571" s="760"/>
      <c r="I571" s="443">
        <f>SUM(J571:Q571)</f>
        <v>5952</v>
      </c>
      <c r="J571" s="741"/>
      <c r="K571" s="741"/>
      <c r="L571" s="1099">
        <f>SUM(L569:L570)</f>
        <v>5952</v>
      </c>
      <c r="M571" s="741"/>
      <c r="N571" s="750"/>
    </row>
    <row r="572" spans="1:16" s="733" customFormat="1" ht="22.5" customHeight="1" x14ac:dyDescent="0.3">
      <c r="A572" s="716">
        <v>564</v>
      </c>
      <c r="B572" s="744"/>
      <c r="C572" s="745">
        <v>88</v>
      </c>
      <c r="D572" s="746" t="s">
        <v>288</v>
      </c>
      <c r="E572" s="736">
        <v>167016</v>
      </c>
      <c r="F572" s="736">
        <v>191158</v>
      </c>
      <c r="G572" s="737">
        <v>160827</v>
      </c>
      <c r="H572" s="738" t="s">
        <v>23</v>
      </c>
      <c r="I572" s="739"/>
      <c r="J572" s="740"/>
      <c r="K572" s="740"/>
      <c r="L572" s="740"/>
      <c r="M572" s="740"/>
      <c r="N572" s="742"/>
      <c r="P572" s="743"/>
    </row>
    <row r="573" spans="1:16" s="761" customFormat="1" ht="18" customHeight="1" x14ac:dyDescent="0.3">
      <c r="A573" s="716">
        <v>565</v>
      </c>
      <c r="B573" s="757"/>
      <c r="C573" s="758"/>
      <c r="D573" s="241" t="s">
        <v>245</v>
      </c>
      <c r="E573" s="759"/>
      <c r="F573" s="759"/>
      <c r="G573" s="1366"/>
      <c r="H573" s="760"/>
      <c r="I573" s="739">
        <f>SUM(J573:N573)</f>
        <v>270071</v>
      </c>
      <c r="J573" s="741"/>
      <c r="K573" s="741"/>
      <c r="L573" s="741">
        <f>240000+30071</f>
        <v>270071</v>
      </c>
      <c r="M573" s="741"/>
      <c r="N573" s="750"/>
    </row>
    <row r="574" spans="1:16" s="761" customFormat="1" ht="18" customHeight="1" x14ac:dyDescent="0.3">
      <c r="A574" s="716">
        <v>566</v>
      </c>
      <c r="B574" s="757"/>
      <c r="C574" s="758"/>
      <c r="D574" s="377" t="s">
        <v>810</v>
      </c>
      <c r="E574" s="759"/>
      <c r="F574" s="759"/>
      <c r="G574" s="1366"/>
      <c r="H574" s="760"/>
      <c r="I574" s="1446">
        <f>SUM(J574:N574)</f>
        <v>270071</v>
      </c>
      <c r="J574" s="1099"/>
      <c r="K574" s="1099"/>
      <c r="L574" s="1099">
        <v>270071</v>
      </c>
      <c r="M574" s="741"/>
      <c r="N574" s="750"/>
    </row>
    <row r="575" spans="1:16" s="761" customFormat="1" ht="18" customHeight="1" x14ac:dyDescent="0.3">
      <c r="A575" s="716">
        <v>567</v>
      </c>
      <c r="B575" s="757"/>
      <c r="C575" s="758"/>
      <c r="D575" s="910" t="s">
        <v>652</v>
      </c>
      <c r="E575" s="759"/>
      <c r="F575" s="759"/>
      <c r="G575" s="1366"/>
      <c r="H575" s="760"/>
      <c r="I575" s="296">
        <f>SUM(J575:Q575)</f>
        <v>0</v>
      </c>
      <c r="J575" s="1105"/>
      <c r="K575" s="1105"/>
      <c r="L575" s="1105"/>
      <c r="M575" s="1105"/>
      <c r="N575" s="1115"/>
    </row>
    <row r="576" spans="1:16" s="761" customFormat="1" ht="18" customHeight="1" x14ac:dyDescent="0.3">
      <c r="A576" s="716">
        <v>568</v>
      </c>
      <c r="B576" s="757"/>
      <c r="C576" s="758"/>
      <c r="D576" s="377" t="s">
        <v>858</v>
      </c>
      <c r="E576" s="759"/>
      <c r="F576" s="759"/>
      <c r="G576" s="1366"/>
      <c r="H576" s="760"/>
      <c r="I576" s="443">
        <f>SUM(J576:Q576)</f>
        <v>270071</v>
      </c>
      <c r="J576" s="741"/>
      <c r="K576" s="741"/>
      <c r="L576" s="1099">
        <f>SUM(L574:L575)</f>
        <v>270071</v>
      </c>
      <c r="M576" s="741"/>
      <c r="N576" s="750"/>
    </row>
    <row r="577" spans="1:16" s="733" customFormat="1" ht="22.5" customHeight="1" x14ac:dyDescent="0.3">
      <c r="A577" s="716">
        <v>569</v>
      </c>
      <c r="B577" s="744"/>
      <c r="C577" s="745">
        <v>89</v>
      </c>
      <c r="D577" s="746" t="s">
        <v>73</v>
      </c>
      <c r="E577" s="800">
        <v>162972</v>
      </c>
      <c r="F577" s="800">
        <v>241302</v>
      </c>
      <c r="G577" s="1368">
        <v>149685</v>
      </c>
      <c r="H577" s="738" t="s">
        <v>23</v>
      </c>
      <c r="I577" s="739"/>
      <c r="J577" s="740"/>
      <c r="K577" s="740"/>
      <c r="L577" s="740"/>
      <c r="M577" s="740"/>
      <c r="N577" s="742"/>
      <c r="P577" s="743"/>
    </row>
    <row r="578" spans="1:16" s="761" customFormat="1" ht="18" customHeight="1" x14ac:dyDescent="0.3">
      <c r="A578" s="716">
        <v>570</v>
      </c>
      <c r="B578" s="757"/>
      <c r="C578" s="758"/>
      <c r="D578" s="241" t="s">
        <v>245</v>
      </c>
      <c r="E578" s="759"/>
      <c r="F578" s="759"/>
      <c r="G578" s="1366"/>
      <c r="H578" s="760"/>
      <c r="I578" s="739">
        <f>SUM(J578:N578)</f>
        <v>256536</v>
      </c>
      <c r="J578" s="741"/>
      <c r="K578" s="741"/>
      <c r="L578" s="741">
        <f>78359+119200+58977</f>
        <v>256536</v>
      </c>
      <c r="M578" s="741"/>
      <c r="N578" s="750"/>
    </row>
    <row r="579" spans="1:16" s="761" customFormat="1" ht="18" customHeight="1" x14ac:dyDescent="0.3">
      <c r="A579" s="716">
        <v>571</v>
      </c>
      <c r="B579" s="757"/>
      <c r="C579" s="758"/>
      <c r="D579" s="377" t="s">
        <v>810</v>
      </c>
      <c r="E579" s="759"/>
      <c r="F579" s="759"/>
      <c r="G579" s="1366"/>
      <c r="H579" s="760"/>
      <c r="I579" s="1446">
        <f>SUM(J579:N579)</f>
        <v>256536</v>
      </c>
      <c r="J579" s="1099"/>
      <c r="K579" s="1099"/>
      <c r="L579" s="1099">
        <v>256536</v>
      </c>
      <c r="M579" s="741"/>
      <c r="N579" s="750"/>
    </row>
    <row r="580" spans="1:16" s="761" customFormat="1" ht="18" customHeight="1" x14ac:dyDescent="0.3">
      <c r="A580" s="716">
        <v>572</v>
      </c>
      <c r="B580" s="757"/>
      <c r="C580" s="758"/>
      <c r="D580" s="910" t="s">
        <v>652</v>
      </c>
      <c r="E580" s="759"/>
      <c r="F580" s="759"/>
      <c r="G580" s="1366"/>
      <c r="H580" s="760"/>
      <c r="I580" s="296">
        <f>SUM(J580:Q580)</f>
        <v>0</v>
      </c>
      <c r="J580" s="1105"/>
      <c r="K580" s="1105"/>
      <c r="L580" s="1105"/>
      <c r="M580" s="1105"/>
      <c r="N580" s="1115"/>
    </row>
    <row r="581" spans="1:16" s="761" customFormat="1" ht="18" customHeight="1" x14ac:dyDescent="0.3">
      <c r="A581" s="716">
        <v>573</v>
      </c>
      <c r="B581" s="757"/>
      <c r="C581" s="758"/>
      <c r="D581" s="377" t="s">
        <v>858</v>
      </c>
      <c r="E581" s="759"/>
      <c r="F581" s="759"/>
      <c r="G581" s="1366"/>
      <c r="H581" s="760"/>
      <c r="I581" s="443">
        <f>SUM(J581:Q581)</f>
        <v>256536</v>
      </c>
      <c r="J581" s="741"/>
      <c r="K581" s="741"/>
      <c r="L581" s="1099">
        <f>SUM(L579:L580)</f>
        <v>256536</v>
      </c>
      <c r="M581" s="741"/>
      <c r="N581" s="750"/>
    </row>
    <row r="582" spans="1:16" s="733" customFormat="1" ht="23.45" customHeight="1" x14ac:dyDescent="0.3">
      <c r="A582" s="716">
        <v>574</v>
      </c>
      <c r="B582" s="744"/>
      <c r="C582" s="745">
        <v>90</v>
      </c>
      <c r="D582" s="746" t="s">
        <v>74</v>
      </c>
      <c r="E582" s="736">
        <v>20030</v>
      </c>
      <c r="F582" s="736">
        <v>13970</v>
      </c>
      <c r="G582" s="737">
        <v>10593</v>
      </c>
      <c r="H582" s="738" t="s">
        <v>23</v>
      </c>
      <c r="I582" s="739"/>
      <c r="J582" s="740"/>
      <c r="K582" s="740"/>
      <c r="L582" s="740"/>
      <c r="M582" s="740"/>
      <c r="N582" s="742"/>
      <c r="P582" s="743"/>
    </row>
    <row r="583" spans="1:16" s="761" customFormat="1" ht="18" customHeight="1" x14ac:dyDescent="0.3">
      <c r="A583" s="716">
        <v>575</v>
      </c>
      <c r="B583" s="757"/>
      <c r="C583" s="758"/>
      <c r="D583" s="241" t="s">
        <v>245</v>
      </c>
      <c r="E583" s="759"/>
      <c r="F583" s="759"/>
      <c r="G583" s="1366"/>
      <c r="H583" s="760"/>
      <c r="I583" s="739">
        <f>SUM(J583:N583)</f>
        <v>15000</v>
      </c>
      <c r="J583" s="741"/>
      <c r="K583" s="741"/>
      <c r="L583" s="741">
        <v>15000</v>
      </c>
      <c r="M583" s="741"/>
      <c r="N583" s="750"/>
    </row>
    <row r="584" spans="1:16" s="761" customFormat="1" ht="18" customHeight="1" x14ac:dyDescent="0.3">
      <c r="A584" s="716">
        <v>576</v>
      </c>
      <c r="B584" s="757"/>
      <c r="C584" s="758"/>
      <c r="D584" s="377" t="s">
        <v>810</v>
      </c>
      <c r="E584" s="759"/>
      <c r="F584" s="759"/>
      <c r="G584" s="1366"/>
      <c r="H584" s="760"/>
      <c r="I584" s="1446">
        <f>SUM(J584:N584)</f>
        <v>15000</v>
      </c>
      <c r="J584" s="1099"/>
      <c r="K584" s="1099"/>
      <c r="L584" s="1099">
        <v>15000</v>
      </c>
      <c r="M584" s="741"/>
      <c r="N584" s="750"/>
    </row>
    <row r="585" spans="1:16" s="761" customFormat="1" ht="18" customHeight="1" x14ac:dyDescent="0.3">
      <c r="A585" s="716">
        <v>577</v>
      </c>
      <c r="B585" s="757"/>
      <c r="C585" s="758"/>
      <c r="D585" s="910" t="s">
        <v>652</v>
      </c>
      <c r="E585" s="759"/>
      <c r="F585" s="759"/>
      <c r="G585" s="1366"/>
      <c r="H585" s="760"/>
      <c r="I585" s="296">
        <f>SUM(J585:Q585)</f>
        <v>0</v>
      </c>
      <c r="J585" s="1105"/>
      <c r="K585" s="1105"/>
      <c r="L585" s="1105"/>
      <c r="M585" s="1105"/>
      <c r="N585" s="1115"/>
    </row>
    <row r="586" spans="1:16" s="761" customFormat="1" ht="18" customHeight="1" x14ac:dyDescent="0.3">
      <c r="A586" s="716">
        <v>578</v>
      </c>
      <c r="B586" s="757"/>
      <c r="C586" s="758"/>
      <c r="D586" s="377" t="s">
        <v>858</v>
      </c>
      <c r="E586" s="759"/>
      <c r="F586" s="759"/>
      <c r="G586" s="1366"/>
      <c r="H586" s="760"/>
      <c r="I586" s="443">
        <f>SUM(J586:Q586)</f>
        <v>15000</v>
      </c>
      <c r="J586" s="741"/>
      <c r="K586" s="741"/>
      <c r="L586" s="1099">
        <f>SUM(L584:L585)</f>
        <v>15000</v>
      </c>
      <c r="M586" s="741"/>
      <c r="N586" s="750"/>
    </row>
    <row r="587" spans="1:16" s="733" customFormat="1" ht="22.5" customHeight="1" x14ac:dyDescent="0.3">
      <c r="A587" s="716">
        <v>579</v>
      </c>
      <c r="B587" s="744"/>
      <c r="C587" s="745">
        <v>91</v>
      </c>
      <c r="D587" s="746" t="s">
        <v>640</v>
      </c>
      <c r="E587" s="736">
        <v>1545456</v>
      </c>
      <c r="F587" s="736">
        <v>1776573</v>
      </c>
      <c r="G587" s="737">
        <v>1776573</v>
      </c>
      <c r="H587" s="738" t="s">
        <v>23</v>
      </c>
      <c r="I587" s="739"/>
      <c r="J587" s="740"/>
      <c r="K587" s="740"/>
      <c r="L587" s="740"/>
      <c r="M587" s="740"/>
      <c r="N587" s="742"/>
    </row>
    <row r="588" spans="1:16" s="733" customFormat="1" ht="20.100000000000001" customHeight="1" x14ac:dyDescent="0.3">
      <c r="A588" s="716">
        <v>580</v>
      </c>
      <c r="B588" s="744"/>
      <c r="C588" s="745"/>
      <c r="D588" s="801" t="s">
        <v>488</v>
      </c>
      <c r="E588" s="736"/>
      <c r="F588" s="736"/>
      <c r="G588" s="737"/>
      <c r="H588" s="738"/>
      <c r="I588" s="739"/>
      <c r="J588" s="740"/>
      <c r="K588" s="740"/>
      <c r="L588" s="740"/>
      <c r="M588" s="740"/>
      <c r="N588" s="742"/>
    </row>
    <row r="589" spans="1:16" s="761" customFormat="1" ht="18" customHeight="1" x14ac:dyDescent="0.3">
      <c r="A589" s="716">
        <v>581</v>
      </c>
      <c r="B589" s="757"/>
      <c r="C589" s="758"/>
      <c r="D589" s="802" t="s">
        <v>245</v>
      </c>
      <c r="E589" s="759"/>
      <c r="F589" s="759"/>
      <c r="G589" s="1366"/>
      <c r="H589" s="760"/>
      <c r="I589" s="739">
        <f>SUM(J589:N589)</f>
        <v>1775824</v>
      </c>
      <c r="J589" s="741"/>
      <c r="K589" s="741"/>
      <c r="L589" s="741"/>
      <c r="M589" s="741"/>
      <c r="N589" s="750">
        <f>1751063+24761</f>
        <v>1775824</v>
      </c>
    </row>
    <row r="590" spans="1:16" s="761" customFormat="1" ht="18" customHeight="1" x14ac:dyDescent="0.3">
      <c r="A590" s="716">
        <v>582</v>
      </c>
      <c r="B590" s="757"/>
      <c r="C590" s="758"/>
      <c r="D590" s="377" t="s">
        <v>812</v>
      </c>
      <c r="E590" s="759"/>
      <c r="F590" s="759"/>
      <c r="G590" s="1366"/>
      <c r="H590" s="760"/>
      <c r="I590" s="1446">
        <f>SUM(J590:N590)</f>
        <v>1775824</v>
      </c>
      <c r="J590" s="1099"/>
      <c r="K590" s="1099"/>
      <c r="L590" s="1099"/>
      <c r="M590" s="1099"/>
      <c r="N590" s="1104">
        <v>1775824</v>
      </c>
    </row>
    <row r="591" spans="1:16" s="761" customFormat="1" ht="18" customHeight="1" x14ac:dyDescent="0.3">
      <c r="A591" s="716">
        <v>583</v>
      </c>
      <c r="B591" s="757"/>
      <c r="C591" s="758"/>
      <c r="D591" s="910" t="s">
        <v>811</v>
      </c>
      <c r="E591" s="759"/>
      <c r="F591" s="759"/>
      <c r="G591" s="1366"/>
      <c r="H591" s="760"/>
      <c r="I591" s="296">
        <f>SUM(J591:Q591)</f>
        <v>0</v>
      </c>
      <c r="J591" s="1105"/>
      <c r="K591" s="1105"/>
      <c r="L591" s="1105"/>
      <c r="M591" s="1105"/>
      <c r="N591" s="1115"/>
    </row>
    <row r="592" spans="1:16" s="761" customFormat="1" ht="18" customHeight="1" x14ac:dyDescent="0.3">
      <c r="A592" s="716">
        <v>584</v>
      </c>
      <c r="B592" s="757"/>
      <c r="C592" s="758"/>
      <c r="D592" s="377" t="s">
        <v>859</v>
      </c>
      <c r="E592" s="759"/>
      <c r="F592" s="759"/>
      <c r="G592" s="1366"/>
      <c r="H592" s="760"/>
      <c r="I592" s="443">
        <f>SUM(J592:Q592)</f>
        <v>1775824</v>
      </c>
      <c r="J592" s="741"/>
      <c r="K592" s="741"/>
      <c r="L592" s="741"/>
      <c r="M592" s="741"/>
      <c r="N592" s="1104">
        <f>SUM(N590:N591)</f>
        <v>1775824</v>
      </c>
    </row>
    <row r="593" spans="1:16" s="761" customFormat="1" ht="20.100000000000001" customHeight="1" x14ac:dyDescent="0.3">
      <c r="A593" s="716">
        <v>585</v>
      </c>
      <c r="B593" s="757"/>
      <c r="C593" s="758"/>
      <c r="D593" s="801" t="s">
        <v>487</v>
      </c>
      <c r="E593" s="736">
        <v>12000</v>
      </c>
      <c r="F593" s="736">
        <v>22980</v>
      </c>
      <c r="G593" s="737">
        <v>22980</v>
      </c>
      <c r="H593" s="760"/>
      <c r="I593" s="739"/>
      <c r="J593" s="741"/>
      <c r="K593" s="741"/>
      <c r="L593" s="741"/>
      <c r="M593" s="741"/>
      <c r="N593" s="750"/>
    </row>
    <row r="594" spans="1:16" s="761" customFormat="1" ht="18" customHeight="1" x14ac:dyDescent="0.3">
      <c r="A594" s="716">
        <v>586</v>
      </c>
      <c r="B594" s="757"/>
      <c r="C594" s="758"/>
      <c r="D594" s="802" t="s">
        <v>245</v>
      </c>
      <c r="E594" s="759"/>
      <c r="F594" s="759"/>
      <c r="G594" s="1366"/>
      <c r="H594" s="760"/>
      <c r="I594" s="739">
        <f>SUM(J594:N594)</f>
        <v>24544</v>
      </c>
      <c r="J594" s="741"/>
      <c r="K594" s="741"/>
      <c r="L594" s="741"/>
      <c r="M594" s="741"/>
      <c r="N594" s="750">
        <v>24544</v>
      </c>
    </row>
    <row r="595" spans="1:16" s="761" customFormat="1" ht="18" customHeight="1" x14ac:dyDescent="0.3">
      <c r="A595" s="716">
        <v>587</v>
      </c>
      <c r="B595" s="757"/>
      <c r="C595" s="758"/>
      <c r="D595" s="377" t="s">
        <v>812</v>
      </c>
      <c r="E595" s="759"/>
      <c r="F595" s="759"/>
      <c r="G595" s="1366"/>
      <c r="H595" s="760"/>
      <c r="I595" s="1446">
        <f>SUM(J595:N595)</f>
        <v>24544</v>
      </c>
      <c r="J595" s="1099"/>
      <c r="K595" s="1099"/>
      <c r="L595" s="1099"/>
      <c r="M595" s="1099"/>
      <c r="N595" s="1104">
        <v>24544</v>
      </c>
    </row>
    <row r="596" spans="1:16" s="761" customFormat="1" ht="18" customHeight="1" x14ac:dyDescent="0.3">
      <c r="A596" s="716">
        <v>588</v>
      </c>
      <c r="B596" s="757"/>
      <c r="C596" s="758"/>
      <c r="D596" s="910" t="s">
        <v>811</v>
      </c>
      <c r="E596" s="759"/>
      <c r="F596" s="759"/>
      <c r="G596" s="1366"/>
      <c r="H596" s="760"/>
      <c r="I596" s="296">
        <f>SUM(J596:Q596)</f>
        <v>0</v>
      </c>
      <c r="J596" s="1105"/>
      <c r="K596" s="1105"/>
      <c r="L596" s="1105"/>
      <c r="M596" s="1105"/>
      <c r="N596" s="1115"/>
    </row>
    <row r="597" spans="1:16" s="761" customFormat="1" ht="18" customHeight="1" x14ac:dyDescent="0.3">
      <c r="A597" s="716">
        <v>589</v>
      </c>
      <c r="B597" s="757"/>
      <c r="C597" s="758"/>
      <c r="D597" s="377" t="s">
        <v>859</v>
      </c>
      <c r="E597" s="759"/>
      <c r="F597" s="759"/>
      <c r="G597" s="1366"/>
      <c r="H597" s="760"/>
      <c r="I597" s="443">
        <f>SUM(J597:Q597)</f>
        <v>24544</v>
      </c>
      <c r="J597" s="741"/>
      <c r="K597" s="741"/>
      <c r="L597" s="741"/>
      <c r="M597" s="741"/>
      <c r="N597" s="1104">
        <f>SUM(N595:N596)</f>
        <v>24544</v>
      </c>
    </row>
    <row r="598" spans="1:16" s="761" customFormat="1" ht="32.25" customHeight="1" x14ac:dyDescent="0.3">
      <c r="A598" s="716">
        <v>590</v>
      </c>
      <c r="B598" s="757"/>
      <c r="C598" s="763">
        <v>92</v>
      </c>
      <c r="D598" s="746" t="s">
        <v>507</v>
      </c>
      <c r="E598" s="736">
        <v>22857</v>
      </c>
      <c r="F598" s="736">
        <v>26000</v>
      </c>
      <c r="G598" s="737">
        <v>25967</v>
      </c>
      <c r="H598" s="738" t="s">
        <v>23</v>
      </c>
      <c r="I598" s="739"/>
      <c r="J598" s="741"/>
      <c r="K598" s="741"/>
      <c r="L598" s="741"/>
      <c r="M598" s="741"/>
      <c r="N598" s="750"/>
    </row>
    <row r="599" spans="1:16" s="761" customFormat="1" ht="18" customHeight="1" x14ac:dyDescent="0.3">
      <c r="A599" s="716">
        <v>591</v>
      </c>
      <c r="B599" s="757"/>
      <c r="C599" s="758"/>
      <c r="D599" s="241" t="s">
        <v>245</v>
      </c>
      <c r="E599" s="759"/>
      <c r="F599" s="759"/>
      <c r="G599" s="1366"/>
      <c r="H599" s="738"/>
      <c r="I599" s="739">
        <f>SUM(J599:N599)</f>
        <v>30000</v>
      </c>
      <c r="J599" s="741"/>
      <c r="K599" s="741"/>
      <c r="L599" s="741"/>
      <c r="M599" s="741"/>
      <c r="N599" s="750">
        <v>30000</v>
      </c>
    </row>
    <row r="600" spans="1:16" s="761" customFormat="1" ht="18" customHeight="1" x14ac:dyDescent="0.3">
      <c r="A600" s="716">
        <v>592</v>
      </c>
      <c r="B600" s="757"/>
      <c r="C600" s="758"/>
      <c r="D600" s="377" t="s">
        <v>810</v>
      </c>
      <c r="E600" s="759"/>
      <c r="F600" s="759"/>
      <c r="G600" s="1366"/>
      <c r="H600" s="738"/>
      <c r="I600" s="1446">
        <f>SUM(J600:N600)</f>
        <v>30000</v>
      </c>
      <c r="J600" s="1099"/>
      <c r="K600" s="1099"/>
      <c r="L600" s="1099"/>
      <c r="M600" s="1099"/>
      <c r="N600" s="1104">
        <v>30000</v>
      </c>
    </row>
    <row r="601" spans="1:16" s="761" customFormat="1" ht="18" customHeight="1" x14ac:dyDescent="0.3">
      <c r="A601" s="716">
        <v>593</v>
      </c>
      <c r="B601" s="757"/>
      <c r="C601" s="758"/>
      <c r="D601" s="910" t="s">
        <v>895</v>
      </c>
      <c r="E601" s="759"/>
      <c r="F601" s="759"/>
      <c r="G601" s="1366"/>
      <c r="H601" s="738"/>
      <c r="I601" s="296">
        <f>SUM(J601:Q601)</f>
        <v>-1698</v>
      </c>
      <c r="J601" s="1105"/>
      <c r="K601" s="1105"/>
      <c r="L601" s="1105"/>
      <c r="M601" s="1105"/>
      <c r="N601" s="1115">
        <v>-1698</v>
      </c>
    </row>
    <row r="602" spans="1:16" s="761" customFormat="1" ht="18" customHeight="1" x14ac:dyDescent="0.3">
      <c r="A602" s="716">
        <v>594</v>
      </c>
      <c r="B602" s="757"/>
      <c r="C602" s="758"/>
      <c r="D602" s="377" t="s">
        <v>858</v>
      </c>
      <c r="E602" s="759"/>
      <c r="F602" s="759"/>
      <c r="G602" s="1366"/>
      <c r="H602" s="738"/>
      <c r="I602" s="443">
        <f>SUM(J602:Q602)</f>
        <v>28302</v>
      </c>
      <c r="J602" s="741"/>
      <c r="K602" s="741"/>
      <c r="L602" s="741"/>
      <c r="M602" s="741"/>
      <c r="N602" s="1104">
        <f>SUM(N600:N601)</f>
        <v>28302</v>
      </c>
    </row>
    <row r="603" spans="1:16" s="733" customFormat="1" ht="22.5" customHeight="1" x14ac:dyDescent="0.3">
      <c r="A603" s="716">
        <v>595</v>
      </c>
      <c r="B603" s="744"/>
      <c r="C603" s="745">
        <v>93</v>
      </c>
      <c r="D603" s="746" t="s">
        <v>621</v>
      </c>
      <c r="E603" s="736">
        <v>60202</v>
      </c>
      <c r="F603" s="736">
        <v>86894</v>
      </c>
      <c r="G603" s="737">
        <v>50465</v>
      </c>
      <c r="H603" s="738" t="s">
        <v>24</v>
      </c>
      <c r="I603" s="739"/>
      <c r="J603" s="740"/>
      <c r="K603" s="740"/>
      <c r="L603" s="740"/>
      <c r="M603" s="740"/>
      <c r="N603" s="742"/>
    </row>
    <row r="604" spans="1:16" s="761" customFormat="1" ht="18" customHeight="1" x14ac:dyDescent="0.3">
      <c r="A604" s="716">
        <v>596</v>
      </c>
      <c r="B604" s="757"/>
      <c r="C604" s="758"/>
      <c r="D604" s="241" t="s">
        <v>245</v>
      </c>
      <c r="E604" s="759"/>
      <c r="F604" s="759"/>
      <c r="G604" s="1366"/>
      <c r="H604" s="760"/>
      <c r="I604" s="739">
        <f>SUM(J604:N604)</f>
        <v>69260</v>
      </c>
      <c r="J604" s="741"/>
      <c r="K604" s="741"/>
      <c r="L604" s="741">
        <v>69260</v>
      </c>
      <c r="M604" s="741"/>
      <c r="N604" s="750"/>
    </row>
    <row r="605" spans="1:16" s="761" customFormat="1" ht="18" customHeight="1" x14ac:dyDescent="0.3">
      <c r="A605" s="716">
        <v>597</v>
      </c>
      <c r="B605" s="757"/>
      <c r="C605" s="758"/>
      <c r="D605" s="377" t="s">
        <v>810</v>
      </c>
      <c r="E605" s="759"/>
      <c r="F605" s="759"/>
      <c r="G605" s="1366"/>
      <c r="H605" s="760"/>
      <c r="I605" s="1446">
        <f>SUM(J605:N605)</f>
        <v>69260</v>
      </c>
      <c r="J605" s="1099"/>
      <c r="K605" s="1099"/>
      <c r="L605" s="1099">
        <v>69260</v>
      </c>
      <c r="M605" s="741"/>
      <c r="N605" s="750"/>
    </row>
    <row r="606" spans="1:16" s="761" customFormat="1" ht="18" customHeight="1" x14ac:dyDescent="0.3">
      <c r="A606" s="716">
        <v>598</v>
      </c>
      <c r="B606" s="757"/>
      <c r="C606" s="758"/>
      <c r="D606" s="910" t="s">
        <v>652</v>
      </c>
      <c r="E606" s="759"/>
      <c r="F606" s="759"/>
      <c r="G606" s="1366"/>
      <c r="H606" s="760"/>
      <c r="I606" s="296">
        <f>SUM(J606:Q606)</f>
        <v>0</v>
      </c>
      <c r="J606" s="1105"/>
      <c r="K606" s="1105"/>
      <c r="L606" s="1105"/>
      <c r="M606" s="1105"/>
      <c r="N606" s="1115"/>
    </row>
    <row r="607" spans="1:16" s="761" customFormat="1" ht="18" customHeight="1" x14ac:dyDescent="0.3">
      <c r="A607" s="716">
        <v>599</v>
      </c>
      <c r="B607" s="757"/>
      <c r="C607" s="758"/>
      <c r="D607" s="377" t="s">
        <v>858</v>
      </c>
      <c r="E607" s="759"/>
      <c r="F607" s="759"/>
      <c r="G607" s="1366"/>
      <c r="H607" s="760"/>
      <c r="I607" s="443">
        <f>SUM(J607:Q607)</f>
        <v>69260</v>
      </c>
      <c r="J607" s="741"/>
      <c r="K607" s="741"/>
      <c r="L607" s="1099">
        <f>SUM(L605:L606)</f>
        <v>69260</v>
      </c>
      <c r="M607" s="741"/>
      <c r="N607" s="750"/>
    </row>
    <row r="608" spans="1:16" s="733" customFormat="1" ht="22.5" customHeight="1" x14ac:dyDescent="0.3">
      <c r="A608" s="716">
        <v>600</v>
      </c>
      <c r="B608" s="744"/>
      <c r="C608" s="745"/>
      <c r="D608" s="803" t="s">
        <v>240</v>
      </c>
      <c r="E608" s="736"/>
      <c r="F608" s="736"/>
      <c r="G608" s="737"/>
      <c r="H608" s="738"/>
      <c r="I608" s="751"/>
      <c r="J608" s="752"/>
      <c r="K608" s="752"/>
      <c r="L608" s="752"/>
      <c r="M608" s="752"/>
      <c r="N608" s="753"/>
      <c r="O608" s="743"/>
      <c r="P608" s="743"/>
    </row>
    <row r="609" spans="1:16" s="733" customFormat="1" ht="22.5" customHeight="1" x14ac:dyDescent="0.3">
      <c r="A609" s="716">
        <v>601</v>
      </c>
      <c r="B609" s="744"/>
      <c r="C609" s="745">
        <v>94</v>
      </c>
      <c r="D609" s="801" t="s">
        <v>8</v>
      </c>
      <c r="E609" s="736">
        <v>448683</v>
      </c>
      <c r="F609" s="736">
        <v>471000</v>
      </c>
      <c r="G609" s="737">
        <v>465000</v>
      </c>
      <c r="H609" s="738" t="s">
        <v>23</v>
      </c>
      <c r="I609" s="739"/>
      <c r="J609" s="740"/>
      <c r="K609" s="740"/>
      <c r="L609" s="740"/>
      <c r="M609" s="740"/>
      <c r="N609" s="742"/>
      <c r="P609" s="743"/>
    </row>
    <row r="610" spans="1:16" s="761" customFormat="1" ht="18" customHeight="1" x14ac:dyDescent="0.3">
      <c r="A610" s="716">
        <v>602</v>
      </c>
      <c r="B610" s="757"/>
      <c r="C610" s="758"/>
      <c r="D610" s="802" t="s">
        <v>245</v>
      </c>
      <c r="E610" s="759"/>
      <c r="F610" s="759"/>
      <c r="G610" s="1366"/>
      <c r="H610" s="760"/>
      <c r="I610" s="739">
        <f>SUM(J610:N610)</f>
        <v>494000</v>
      </c>
      <c r="J610" s="741"/>
      <c r="K610" s="741"/>
      <c r="L610" s="741"/>
      <c r="M610" s="741"/>
      <c r="N610" s="750">
        <v>494000</v>
      </c>
    </row>
    <row r="611" spans="1:16" s="761" customFormat="1" ht="18" customHeight="1" x14ac:dyDescent="0.3">
      <c r="A611" s="716">
        <v>603</v>
      </c>
      <c r="B611" s="757"/>
      <c r="C611" s="758"/>
      <c r="D611" s="377" t="s">
        <v>812</v>
      </c>
      <c r="E611" s="759"/>
      <c r="F611" s="759"/>
      <c r="G611" s="1366"/>
      <c r="H611" s="760"/>
      <c r="I611" s="1446">
        <f>SUM(J611:N611)</f>
        <v>494000</v>
      </c>
      <c r="J611" s="1099"/>
      <c r="K611" s="1099"/>
      <c r="L611" s="1099"/>
      <c r="M611" s="1099"/>
      <c r="N611" s="1104">
        <v>494000</v>
      </c>
    </row>
    <row r="612" spans="1:16" s="761" customFormat="1" ht="18" customHeight="1" x14ac:dyDescent="0.3">
      <c r="A612" s="716">
        <v>604</v>
      </c>
      <c r="B612" s="757"/>
      <c r="C612" s="758"/>
      <c r="D612" s="910" t="s">
        <v>811</v>
      </c>
      <c r="E612" s="759"/>
      <c r="F612" s="759"/>
      <c r="G612" s="1366"/>
      <c r="H612" s="760"/>
      <c r="I612" s="296">
        <f>SUM(J612:Q612)</f>
        <v>0</v>
      </c>
      <c r="J612" s="741"/>
      <c r="K612" s="741"/>
      <c r="L612" s="741"/>
      <c r="M612" s="741"/>
      <c r="N612" s="750"/>
    </row>
    <row r="613" spans="1:16" s="761" customFormat="1" ht="18" customHeight="1" x14ac:dyDescent="0.3">
      <c r="A613" s="716">
        <v>605</v>
      </c>
      <c r="B613" s="757"/>
      <c r="C613" s="758"/>
      <c r="D613" s="377" t="s">
        <v>859</v>
      </c>
      <c r="E613" s="759"/>
      <c r="F613" s="759"/>
      <c r="G613" s="1366"/>
      <c r="H613" s="760"/>
      <c r="I613" s="443">
        <f>SUM(J613:Q613)</f>
        <v>494000</v>
      </c>
      <c r="J613" s="741"/>
      <c r="K613" s="741"/>
      <c r="L613" s="741"/>
      <c r="M613" s="741"/>
      <c r="N613" s="1104">
        <f>SUM(N611:N612)</f>
        <v>494000</v>
      </c>
    </row>
    <row r="614" spans="1:16" s="733" customFormat="1" ht="22.5" customHeight="1" x14ac:dyDescent="0.3">
      <c r="A614" s="716">
        <v>606</v>
      </c>
      <c r="B614" s="744"/>
      <c r="C614" s="745">
        <v>95</v>
      </c>
      <c r="D614" s="801" t="s">
        <v>239</v>
      </c>
      <c r="E614" s="736">
        <v>88700</v>
      </c>
      <c r="F614" s="736">
        <v>89000</v>
      </c>
      <c r="G614" s="737">
        <v>89000</v>
      </c>
      <c r="H614" s="738" t="s">
        <v>23</v>
      </c>
      <c r="I614" s="739"/>
      <c r="J614" s="740"/>
      <c r="K614" s="740"/>
      <c r="L614" s="740"/>
      <c r="M614" s="740"/>
      <c r="N614" s="742"/>
      <c r="P614" s="743"/>
    </row>
    <row r="615" spans="1:16" s="761" customFormat="1" ht="18" customHeight="1" x14ac:dyDescent="0.3">
      <c r="A615" s="716">
        <v>607</v>
      </c>
      <c r="B615" s="757"/>
      <c r="C615" s="758"/>
      <c r="D615" s="802" t="s">
        <v>245</v>
      </c>
      <c r="E615" s="759"/>
      <c r="F615" s="759"/>
      <c r="G615" s="1366"/>
      <c r="H615" s="760"/>
      <c r="I615" s="739">
        <f>SUM(J615:N615)</f>
        <v>90000</v>
      </c>
      <c r="J615" s="741"/>
      <c r="K615" s="741"/>
      <c r="L615" s="741"/>
      <c r="M615" s="741"/>
      <c r="N615" s="750">
        <v>90000</v>
      </c>
    </row>
    <row r="616" spans="1:16" s="761" customFormat="1" ht="18" customHeight="1" x14ac:dyDescent="0.3">
      <c r="A616" s="716">
        <v>608</v>
      </c>
      <c r="B616" s="757"/>
      <c r="C616" s="758"/>
      <c r="D616" s="377" t="s">
        <v>814</v>
      </c>
      <c r="E616" s="759"/>
      <c r="F616" s="759"/>
      <c r="G616" s="1366"/>
      <c r="H616" s="760"/>
      <c r="I616" s="1446">
        <f>SUM(J616:N616)</f>
        <v>90000</v>
      </c>
      <c r="J616" s="1099"/>
      <c r="K616" s="1099"/>
      <c r="L616" s="1099"/>
      <c r="M616" s="1099"/>
      <c r="N616" s="1104">
        <v>90000</v>
      </c>
    </row>
    <row r="617" spans="1:16" s="761" customFormat="1" ht="18" customHeight="1" x14ac:dyDescent="0.3">
      <c r="A617" s="716">
        <v>609</v>
      </c>
      <c r="B617" s="757"/>
      <c r="C617" s="758"/>
      <c r="D617" s="910" t="s">
        <v>813</v>
      </c>
      <c r="E617" s="759"/>
      <c r="F617" s="759"/>
      <c r="G617" s="1366"/>
      <c r="H617" s="760"/>
      <c r="I617" s="296">
        <f>SUM(J617:Q617)</f>
        <v>0</v>
      </c>
      <c r="J617" s="741"/>
      <c r="K617" s="741"/>
      <c r="L617" s="741"/>
      <c r="M617" s="741"/>
      <c r="N617" s="750"/>
    </row>
    <row r="618" spans="1:16" s="761" customFormat="1" ht="18" customHeight="1" x14ac:dyDescent="0.3">
      <c r="A618" s="716">
        <v>610</v>
      </c>
      <c r="B618" s="757"/>
      <c r="C618" s="758"/>
      <c r="D618" s="377" t="s">
        <v>860</v>
      </c>
      <c r="E618" s="759"/>
      <c r="F618" s="759"/>
      <c r="G618" s="1366"/>
      <c r="H618" s="760"/>
      <c r="I618" s="443">
        <f>SUM(J618:Q618)</f>
        <v>90000</v>
      </c>
      <c r="J618" s="741"/>
      <c r="K618" s="741"/>
      <c r="L618" s="741"/>
      <c r="M618" s="741"/>
      <c r="N618" s="1104">
        <f>SUM(N616:N617)</f>
        <v>90000</v>
      </c>
    </row>
    <row r="619" spans="1:16" s="733" customFormat="1" ht="22.5" customHeight="1" x14ac:dyDescent="0.3">
      <c r="A619" s="716">
        <v>611</v>
      </c>
      <c r="B619" s="744"/>
      <c r="C619" s="745">
        <v>96</v>
      </c>
      <c r="D619" s="801" t="s">
        <v>9</v>
      </c>
      <c r="E619" s="736">
        <v>383700</v>
      </c>
      <c r="F619" s="736">
        <v>399000</v>
      </c>
      <c r="G619" s="737">
        <v>399000</v>
      </c>
      <c r="H619" s="738" t="s">
        <v>23</v>
      </c>
      <c r="I619" s="739"/>
      <c r="J619" s="740"/>
      <c r="K619" s="740"/>
      <c r="L619" s="740"/>
      <c r="M619" s="740"/>
      <c r="N619" s="742"/>
      <c r="P619" s="743"/>
    </row>
    <row r="620" spans="1:16" s="761" customFormat="1" ht="18" customHeight="1" x14ac:dyDescent="0.3">
      <c r="A620" s="716">
        <v>612</v>
      </c>
      <c r="B620" s="757"/>
      <c r="C620" s="758"/>
      <c r="D620" s="802" t="s">
        <v>245</v>
      </c>
      <c r="E620" s="759"/>
      <c r="F620" s="759"/>
      <c r="G620" s="1366"/>
      <c r="H620" s="760"/>
      <c r="I620" s="739">
        <f>SUM(J620:N620)</f>
        <v>440000</v>
      </c>
      <c r="J620" s="741"/>
      <c r="K620" s="741"/>
      <c r="L620" s="741"/>
      <c r="M620" s="741"/>
      <c r="N620" s="750">
        <v>440000</v>
      </c>
    </row>
    <row r="621" spans="1:16" s="761" customFormat="1" ht="18" customHeight="1" x14ac:dyDescent="0.3">
      <c r="A621" s="716">
        <v>613</v>
      </c>
      <c r="B621" s="757"/>
      <c r="C621" s="758"/>
      <c r="D621" s="377" t="s">
        <v>814</v>
      </c>
      <c r="E621" s="759"/>
      <c r="F621" s="759"/>
      <c r="G621" s="1366"/>
      <c r="H621" s="760"/>
      <c r="I621" s="1446">
        <f>SUM(J621:N621)</f>
        <v>440000</v>
      </c>
      <c r="J621" s="1099"/>
      <c r="K621" s="1099"/>
      <c r="L621" s="1099"/>
      <c r="M621" s="1099"/>
      <c r="N621" s="1104">
        <v>440000</v>
      </c>
    </row>
    <row r="622" spans="1:16" s="761" customFormat="1" ht="18" customHeight="1" x14ac:dyDescent="0.3">
      <c r="A622" s="716">
        <v>614</v>
      </c>
      <c r="B622" s="757"/>
      <c r="C622" s="758"/>
      <c r="D622" s="910" t="s">
        <v>813</v>
      </c>
      <c r="E622" s="759"/>
      <c r="F622" s="759"/>
      <c r="G622" s="1366"/>
      <c r="H622" s="760"/>
      <c r="I622" s="296">
        <f>SUM(J622:Q622)</f>
        <v>0</v>
      </c>
      <c r="J622" s="741"/>
      <c r="K622" s="741"/>
      <c r="L622" s="741"/>
      <c r="M622" s="741"/>
      <c r="N622" s="750"/>
    </row>
    <row r="623" spans="1:16" s="761" customFormat="1" ht="18" customHeight="1" x14ac:dyDescent="0.3">
      <c r="A623" s="716">
        <v>615</v>
      </c>
      <c r="B623" s="757"/>
      <c r="C623" s="758"/>
      <c r="D623" s="377" t="s">
        <v>860</v>
      </c>
      <c r="E623" s="759"/>
      <c r="F623" s="759"/>
      <c r="G623" s="1366"/>
      <c r="H623" s="760"/>
      <c r="I623" s="443">
        <f>SUM(J623:Q623)</f>
        <v>440000</v>
      </c>
      <c r="J623" s="741"/>
      <c r="K623" s="741"/>
      <c r="L623" s="741"/>
      <c r="M623" s="741"/>
      <c r="N623" s="1104">
        <f>SUM(N621:N622)</f>
        <v>440000</v>
      </c>
    </row>
    <row r="624" spans="1:16" s="733" customFormat="1" ht="22.5" customHeight="1" x14ac:dyDescent="0.3">
      <c r="A624" s="716">
        <v>616</v>
      </c>
      <c r="B624" s="744"/>
      <c r="C624" s="745">
        <v>97</v>
      </c>
      <c r="D624" s="801" t="s">
        <v>7</v>
      </c>
      <c r="E624" s="736">
        <v>71700</v>
      </c>
      <c r="F624" s="736">
        <v>72000</v>
      </c>
      <c r="G624" s="737">
        <v>72000</v>
      </c>
      <c r="H624" s="738" t="s">
        <v>23</v>
      </c>
      <c r="I624" s="739"/>
      <c r="J624" s="740"/>
      <c r="K624" s="740"/>
      <c r="L624" s="740"/>
      <c r="M624" s="740"/>
      <c r="N624" s="742"/>
      <c r="P624" s="743"/>
    </row>
    <row r="625" spans="1:16" s="761" customFormat="1" ht="18" customHeight="1" x14ac:dyDescent="0.3">
      <c r="A625" s="716">
        <v>617</v>
      </c>
      <c r="B625" s="757"/>
      <c r="C625" s="758"/>
      <c r="D625" s="802" t="s">
        <v>245</v>
      </c>
      <c r="E625" s="759"/>
      <c r="F625" s="759"/>
      <c r="G625" s="1366"/>
      <c r="H625" s="760"/>
      <c r="I625" s="739">
        <f>SUM(J625:N625)</f>
        <v>80000</v>
      </c>
      <c r="J625" s="741"/>
      <c r="K625" s="741"/>
      <c r="L625" s="741"/>
      <c r="M625" s="741"/>
      <c r="N625" s="750">
        <v>80000</v>
      </c>
    </row>
    <row r="626" spans="1:16" s="761" customFormat="1" ht="18" customHeight="1" x14ac:dyDescent="0.3">
      <c r="A626" s="716">
        <v>618</v>
      </c>
      <c r="B626" s="757"/>
      <c r="C626" s="758"/>
      <c r="D626" s="377" t="s">
        <v>814</v>
      </c>
      <c r="E626" s="759"/>
      <c r="F626" s="759"/>
      <c r="G626" s="1366"/>
      <c r="H626" s="760"/>
      <c r="I626" s="1446">
        <f>SUM(J626:N626)</f>
        <v>80000</v>
      </c>
      <c r="J626" s="1099"/>
      <c r="K626" s="1099"/>
      <c r="L626" s="1099"/>
      <c r="M626" s="1099"/>
      <c r="N626" s="1104">
        <v>80000</v>
      </c>
    </row>
    <row r="627" spans="1:16" s="761" customFormat="1" ht="18" customHeight="1" x14ac:dyDescent="0.3">
      <c r="A627" s="716">
        <v>619</v>
      </c>
      <c r="B627" s="757"/>
      <c r="C627" s="758"/>
      <c r="D627" s="910" t="s">
        <v>813</v>
      </c>
      <c r="E627" s="759"/>
      <c r="F627" s="759"/>
      <c r="G627" s="1366"/>
      <c r="H627" s="760"/>
      <c r="I627" s="296">
        <f>SUM(J627:Q627)</f>
        <v>0</v>
      </c>
      <c r="J627" s="741"/>
      <c r="K627" s="741"/>
      <c r="L627" s="741"/>
      <c r="M627" s="741"/>
      <c r="N627" s="750"/>
    </row>
    <row r="628" spans="1:16" s="761" customFormat="1" ht="18" customHeight="1" x14ac:dyDescent="0.3">
      <c r="A628" s="716">
        <v>620</v>
      </c>
      <c r="B628" s="757"/>
      <c r="C628" s="758"/>
      <c r="D628" s="377" t="s">
        <v>860</v>
      </c>
      <c r="E628" s="759"/>
      <c r="F628" s="759"/>
      <c r="G628" s="1366"/>
      <c r="H628" s="760"/>
      <c r="I628" s="443">
        <f>SUM(J628:Q628)</f>
        <v>80000</v>
      </c>
      <c r="J628" s="741"/>
      <c r="K628" s="741"/>
      <c r="L628" s="741"/>
      <c r="M628" s="741"/>
      <c r="N628" s="1104">
        <f>SUM(N626:N627)</f>
        <v>80000</v>
      </c>
    </row>
    <row r="629" spans="1:16" s="733" customFormat="1" ht="22.5" customHeight="1" x14ac:dyDescent="0.3">
      <c r="A629" s="716">
        <v>621</v>
      </c>
      <c r="B629" s="744"/>
      <c r="C629" s="745">
        <v>162</v>
      </c>
      <c r="D629" s="801" t="s">
        <v>489</v>
      </c>
      <c r="E629" s="736"/>
      <c r="F629" s="736">
        <v>20000</v>
      </c>
      <c r="G629" s="737">
        <v>20000</v>
      </c>
      <c r="H629" s="738" t="s">
        <v>23</v>
      </c>
      <c r="I629" s="739"/>
      <c r="J629" s="740"/>
      <c r="K629" s="740"/>
      <c r="L629" s="740"/>
      <c r="M629" s="740"/>
      <c r="N629" s="750"/>
      <c r="P629" s="743"/>
    </row>
    <row r="630" spans="1:16" s="733" customFormat="1" ht="18" customHeight="1" x14ac:dyDescent="0.3">
      <c r="A630" s="716">
        <v>622</v>
      </c>
      <c r="B630" s="744"/>
      <c r="C630" s="745"/>
      <c r="D630" s="802" t="s">
        <v>245</v>
      </c>
      <c r="E630" s="736"/>
      <c r="F630" s="736"/>
      <c r="G630" s="737"/>
      <c r="H630" s="738"/>
      <c r="I630" s="739">
        <f>SUM(J630:N630)</f>
        <v>25000</v>
      </c>
      <c r="J630" s="740"/>
      <c r="K630" s="740"/>
      <c r="L630" s="740"/>
      <c r="M630" s="740"/>
      <c r="N630" s="750">
        <v>25000</v>
      </c>
      <c r="P630" s="743"/>
    </row>
    <row r="631" spans="1:16" s="733" customFormat="1" ht="18" customHeight="1" x14ac:dyDescent="0.3">
      <c r="A631" s="716">
        <v>623</v>
      </c>
      <c r="B631" s="744"/>
      <c r="C631" s="745"/>
      <c r="D631" s="377" t="s">
        <v>814</v>
      </c>
      <c r="E631" s="736"/>
      <c r="F631" s="736"/>
      <c r="G631" s="737"/>
      <c r="H631" s="738"/>
      <c r="I631" s="1446">
        <f>SUM(J631:N631)</f>
        <v>25000</v>
      </c>
      <c r="J631" s="1103"/>
      <c r="K631" s="1103"/>
      <c r="L631" s="1103"/>
      <c r="M631" s="1103"/>
      <c r="N631" s="1104">
        <v>25000</v>
      </c>
      <c r="P631" s="743"/>
    </row>
    <row r="632" spans="1:16" s="733" customFormat="1" ht="18" customHeight="1" x14ac:dyDescent="0.3">
      <c r="A632" s="716">
        <v>624</v>
      </c>
      <c r="B632" s="744"/>
      <c r="C632" s="745"/>
      <c r="D632" s="910" t="s">
        <v>813</v>
      </c>
      <c r="E632" s="736"/>
      <c r="F632" s="736"/>
      <c r="G632" s="737"/>
      <c r="H632" s="738"/>
      <c r="I632" s="296">
        <f>SUM(J632:Q632)</f>
        <v>0</v>
      </c>
      <c r="J632" s="740"/>
      <c r="K632" s="740"/>
      <c r="L632" s="740"/>
      <c r="M632" s="740"/>
      <c r="N632" s="750"/>
      <c r="P632" s="743"/>
    </row>
    <row r="633" spans="1:16" s="733" customFormat="1" ht="18" customHeight="1" x14ac:dyDescent="0.3">
      <c r="A633" s="716">
        <v>625</v>
      </c>
      <c r="B633" s="744"/>
      <c r="C633" s="745"/>
      <c r="D633" s="377" t="s">
        <v>860</v>
      </c>
      <c r="E633" s="736"/>
      <c r="F633" s="736"/>
      <c r="G633" s="737"/>
      <c r="H633" s="738"/>
      <c r="I633" s="443">
        <f>SUM(J633:Q633)</f>
        <v>25000</v>
      </c>
      <c r="J633" s="740"/>
      <c r="K633" s="740"/>
      <c r="L633" s="740"/>
      <c r="M633" s="740"/>
      <c r="N633" s="1104">
        <f>SUM(N631:N632)</f>
        <v>25000</v>
      </c>
      <c r="P633" s="743"/>
    </row>
    <row r="634" spans="1:16" s="733" customFormat="1" ht="22.5" customHeight="1" x14ac:dyDescent="0.3">
      <c r="A634" s="716">
        <v>626</v>
      </c>
      <c r="B634" s="744"/>
      <c r="C634" s="745"/>
      <c r="D634" s="803" t="s">
        <v>241</v>
      </c>
      <c r="E634" s="736"/>
      <c r="F634" s="736"/>
      <c r="G634" s="737"/>
      <c r="H634" s="738"/>
      <c r="I634" s="751"/>
      <c r="J634" s="752"/>
      <c r="K634" s="752"/>
      <c r="L634" s="752"/>
      <c r="M634" s="752"/>
      <c r="N634" s="753"/>
      <c r="O634" s="743"/>
      <c r="P634" s="743"/>
    </row>
    <row r="635" spans="1:16" s="733" customFormat="1" ht="22.5" customHeight="1" x14ac:dyDescent="0.3">
      <c r="A635" s="716">
        <v>627</v>
      </c>
      <c r="B635" s="744"/>
      <c r="C635" s="745">
        <v>98</v>
      </c>
      <c r="D635" s="801" t="s">
        <v>334</v>
      </c>
      <c r="E635" s="736">
        <v>77429</v>
      </c>
      <c r="F635" s="736">
        <v>75000</v>
      </c>
      <c r="G635" s="737">
        <v>75000</v>
      </c>
      <c r="H635" s="738" t="s">
        <v>23</v>
      </c>
      <c r="I635" s="739"/>
      <c r="J635" s="740"/>
      <c r="K635" s="740"/>
      <c r="L635" s="740"/>
      <c r="M635" s="740"/>
      <c r="N635" s="742"/>
      <c r="P635" s="743"/>
    </row>
    <row r="636" spans="1:16" s="733" customFormat="1" ht="18" customHeight="1" x14ac:dyDescent="0.3">
      <c r="A636" s="716">
        <v>628</v>
      </c>
      <c r="B636" s="744"/>
      <c r="C636" s="745"/>
      <c r="D636" s="802" t="s">
        <v>245</v>
      </c>
      <c r="E636" s="736"/>
      <c r="F636" s="736"/>
      <c r="G636" s="737"/>
      <c r="H636" s="738"/>
      <c r="I636" s="739">
        <f>SUM(J636:N636)</f>
        <v>82500</v>
      </c>
      <c r="J636" s="740"/>
      <c r="K636" s="740"/>
      <c r="L636" s="740"/>
      <c r="M636" s="740"/>
      <c r="N636" s="750">
        <v>82500</v>
      </c>
      <c r="P636" s="743"/>
    </row>
    <row r="637" spans="1:16" s="733" customFormat="1" ht="18" customHeight="1" x14ac:dyDescent="0.3">
      <c r="A637" s="716">
        <v>629</v>
      </c>
      <c r="B637" s="744"/>
      <c r="C637" s="745"/>
      <c r="D637" s="377" t="s">
        <v>814</v>
      </c>
      <c r="E637" s="736"/>
      <c r="F637" s="736"/>
      <c r="G637" s="737"/>
      <c r="H637" s="738"/>
      <c r="I637" s="1446">
        <f>SUM(J637:N637)</f>
        <v>82500</v>
      </c>
      <c r="J637" s="1103"/>
      <c r="K637" s="1103"/>
      <c r="L637" s="1103"/>
      <c r="M637" s="1103"/>
      <c r="N637" s="1104">
        <v>82500</v>
      </c>
      <c r="P637" s="743"/>
    </row>
    <row r="638" spans="1:16" s="733" customFormat="1" ht="18" customHeight="1" x14ac:dyDescent="0.3">
      <c r="A638" s="716">
        <v>630</v>
      </c>
      <c r="B638" s="744"/>
      <c r="C638" s="745"/>
      <c r="D638" s="910" t="s">
        <v>813</v>
      </c>
      <c r="E638" s="736"/>
      <c r="F638" s="736"/>
      <c r="G638" s="737"/>
      <c r="H638" s="738"/>
      <c r="I638" s="296">
        <f>SUM(J638:Q638)</f>
        <v>0</v>
      </c>
      <c r="J638" s="740"/>
      <c r="K638" s="740"/>
      <c r="L638" s="740"/>
      <c r="M638" s="740"/>
      <c r="N638" s="750"/>
      <c r="P638" s="743"/>
    </row>
    <row r="639" spans="1:16" s="733" customFormat="1" ht="18" customHeight="1" x14ac:dyDescent="0.3">
      <c r="A639" s="716">
        <v>631</v>
      </c>
      <c r="B639" s="744"/>
      <c r="C639" s="745"/>
      <c r="D639" s="377" t="s">
        <v>860</v>
      </c>
      <c r="E639" s="736"/>
      <c r="F639" s="736"/>
      <c r="G639" s="737"/>
      <c r="H639" s="738"/>
      <c r="I639" s="443">
        <f>SUM(J639:Q639)</f>
        <v>82500</v>
      </c>
      <c r="J639" s="740"/>
      <c r="K639" s="740"/>
      <c r="L639" s="740"/>
      <c r="M639" s="740"/>
      <c r="N639" s="1104">
        <f>SUM(N637:N638)</f>
        <v>82500</v>
      </c>
      <c r="P639" s="743"/>
    </row>
    <row r="640" spans="1:16" s="733" customFormat="1" ht="22.5" customHeight="1" x14ac:dyDescent="0.3">
      <c r="A640" s="716">
        <v>632</v>
      </c>
      <c r="B640" s="744"/>
      <c r="C640" s="745">
        <v>99</v>
      </c>
      <c r="D640" s="801" t="s">
        <v>242</v>
      </c>
      <c r="E640" s="736">
        <v>238819</v>
      </c>
      <c r="F640" s="736">
        <v>197941</v>
      </c>
      <c r="G640" s="737">
        <v>197941</v>
      </c>
      <c r="H640" s="738" t="s">
        <v>23</v>
      </c>
      <c r="I640" s="739"/>
      <c r="J640" s="740"/>
      <c r="K640" s="740"/>
      <c r="L640" s="740"/>
      <c r="M640" s="740"/>
      <c r="N640" s="750"/>
      <c r="P640" s="743"/>
    </row>
    <row r="641" spans="1:16" s="733" customFormat="1" ht="18" customHeight="1" x14ac:dyDescent="0.3">
      <c r="A641" s="716">
        <v>633</v>
      </c>
      <c r="B641" s="744"/>
      <c r="C641" s="745"/>
      <c r="D641" s="802" t="s">
        <v>245</v>
      </c>
      <c r="E641" s="736"/>
      <c r="F641" s="736"/>
      <c r="G641" s="737"/>
      <c r="H641" s="738"/>
      <c r="I641" s="739">
        <f>SUM(J641:N641)</f>
        <v>228274</v>
      </c>
      <c r="J641" s="740"/>
      <c r="K641" s="740"/>
      <c r="L641" s="740"/>
      <c r="M641" s="740"/>
      <c r="N641" s="750">
        <v>228274</v>
      </c>
      <c r="P641" s="743"/>
    </row>
    <row r="642" spans="1:16" s="733" customFormat="1" ht="18" customHeight="1" x14ac:dyDescent="0.3">
      <c r="A642" s="716">
        <v>634</v>
      </c>
      <c r="B642" s="744"/>
      <c r="C642" s="745"/>
      <c r="D642" s="377" t="s">
        <v>814</v>
      </c>
      <c r="E642" s="736"/>
      <c r="F642" s="736"/>
      <c r="G642" s="737"/>
      <c r="H642" s="738"/>
      <c r="I642" s="1446">
        <f>SUM(J642:N642)</f>
        <v>228274</v>
      </c>
      <c r="J642" s="1103"/>
      <c r="K642" s="1103"/>
      <c r="L642" s="1103"/>
      <c r="M642" s="1103"/>
      <c r="N642" s="1104">
        <v>228274</v>
      </c>
      <c r="P642" s="743"/>
    </row>
    <row r="643" spans="1:16" s="733" customFormat="1" ht="18" customHeight="1" x14ac:dyDescent="0.3">
      <c r="A643" s="716">
        <v>635</v>
      </c>
      <c r="B643" s="744"/>
      <c r="C643" s="745"/>
      <c r="D643" s="910" t="s">
        <v>813</v>
      </c>
      <c r="E643" s="736"/>
      <c r="F643" s="736"/>
      <c r="G643" s="737"/>
      <c r="H643" s="738"/>
      <c r="I643" s="296">
        <f>SUM(J643:Q643)</f>
        <v>0</v>
      </c>
      <c r="J643" s="740"/>
      <c r="K643" s="740"/>
      <c r="L643" s="740"/>
      <c r="M643" s="740"/>
      <c r="N643" s="750"/>
      <c r="P643" s="743"/>
    </row>
    <row r="644" spans="1:16" s="733" customFormat="1" ht="18" customHeight="1" x14ac:dyDescent="0.3">
      <c r="A644" s="716">
        <v>636</v>
      </c>
      <c r="B644" s="744"/>
      <c r="C644" s="745"/>
      <c r="D644" s="377" t="s">
        <v>860</v>
      </c>
      <c r="E644" s="736"/>
      <c r="F644" s="736"/>
      <c r="G644" s="737"/>
      <c r="H644" s="738"/>
      <c r="I644" s="443">
        <f>SUM(J644:Q644)</f>
        <v>228274</v>
      </c>
      <c r="J644" s="740"/>
      <c r="K644" s="740"/>
      <c r="L644" s="740"/>
      <c r="M644" s="740"/>
      <c r="N644" s="1104">
        <f>SUM(N642:N643)</f>
        <v>228274</v>
      </c>
      <c r="P644" s="743"/>
    </row>
    <row r="645" spans="1:16" s="743" customFormat="1" ht="22.5" customHeight="1" x14ac:dyDescent="0.3">
      <c r="A645" s="716">
        <v>637</v>
      </c>
      <c r="B645" s="734"/>
      <c r="C645" s="745">
        <v>100</v>
      </c>
      <c r="D645" s="746" t="s">
        <v>335</v>
      </c>
      <c r="E645" s="736">
        <v>73566</v>
      </c>
      <c r="F645" s="736">
        <v>62035</v>
      </c>
      <c r="G645" s="737">
        <v>44357</v>
      </c>
      <c r="H645" s="738" t="s">
        <v>23</v>
      </c>
      <c r="I645" s="739"/>
      <c r="J645" s="740"/>
      <c r="K645" s="740"/>
      <c r="L645" s="740"/>
      <c r="M645" s="740"/>
      <c r="N645" s="742"/>
    </row>
    <row r="646" spans="1:16" s="761" customFormat="1" ht="18" customHeight="1" x14ac:dyDescent="0.3">
      <c r="A646" s="716">
        <v>638</v>
      </c>
      <c r="B646" s="757"/>
      <c r="C646" s="758"/>
      <c r="D646" s="241" t="s">
        <v>245</v>
      </c>
      <c r="E646" s="759"/>
      <c r="F646" s="759"/>
      <c r="G646" s="1366"/>
      <c r="H646" s="760"/>
      <c r="I646" s="739">
        <f>SUM(J646:N646)</f>
        <v>46630</v>
      </c>
      <c r="J646" s="741"/>
      <c r="K646" s="741"/>
      <c r="L646" s="741">
        <f>46630</f>
        <v>46630</v>
      </c>
      <c r="M646" s="741"/>
      <c r="N646" s="750"/>
    </row>
    <row r="647" spans="1:16" s="761" customFormat="1" ht="18" customHeight="1" x14ac:dyDescent="0.3">
      <c r="A647" s="716">
        <v>639</v>
      </c>
      <c r="B647" s="757"/>
      <c r="C647" s="758"/>
      <c r="D647" s="377" t="s">
        <v>810</v>
      </c>
      <c r="E647" s="759"/>
      <c r="F647" s="759"/>
      <c r="G647" s="1366"/>
      <c r="H647" s="760"/>
      <c r="I647" s="1446">
        <f>SUM(J647:N647)</f>
        <v>46954</v>
      </c>
      <c r="J647" s="1099"/>
      <c r="K647" s="1099"/>
      <c r="L647" s="1099">
        <v>46954</v>
      </c>
      <c r="M647" s="741"/>
      <c r="N647" s="750"/>
    </row>
    <row r="648" spans="1:16" s="761" customFormat="1" ht="18" customHeight="1" x14ac:dyDescent="0.3">
      <c r="A648" s="716">
        <v>640</v>
      </c>
      <c r="B648" s="757"/>
      <c r="C648" s="758"/>
      <c r="D648" s="910" t="s">
        <v>897</v>
      </c>
      <c r="E648" s="759"/>
      <c r="F648" s="759"/>
      <c r="G648" s="1366"/>
      <c r="H648" s="760"/>
      <c r="I648" s="296">
        <f>SUM(J648:Q648)</f>
        <v>3300</v>
      </c>
      <c r="J648" s="1105"/>
      <c r="K648" s="1105"/>
      <c r="L648" s="1105">
        <v>3300</v>
      </c>
      <c r="M648" s="1105"/>
      <c r="N648" s="1115"/>
    </row>
    <row r="649" spans="1:16" s="761" customFormat="1" ht="18" customHeight="1" x14ac:dyDescent="0.3">
      <c r="A649" s="716">
        <v>641</v>
      </c>
      <c r="B649" s="757"/>
      <c r="C649" s="758"/>
      <c r="D649" s="377" t="s">
        <v>858</v>
      </c>
      <c r="E649" s="759"/>
      <c r="F649" s="759"/>
      <c r="G649" s="1366"/>
      <c r="H649" s="760"/>
      <c r="I649" s="443">
        <f>SUM(J649:Q649)</f>
        <v>50254</v>
      </c>
      <c r="J649" s="741"/>
      <c r="K649" s="741"/>
      <c r="L649" s="1099">
        <f>SUM(L647:L648)</f>
        <v>50254</v>
      </c>
      <c r="M649" s="741"/>
      <c r="N649" s="750"/>
    </row>
    <row r="650" spans="1:16" s="733" customFormat="1" ht="22.5" customHeight="1" x14ac:dyDescent="0.3">
      <c r="A650" s="716">
        <v>642</v>
      </c>
      <c r="B650" s="744"/>
      <c r="C650" s="745">
        <v>101</v>
      </c>
      <c r="D650" s="746" t="s">
        <v>79</v>
      </c>
      <c r="E650" s="736">
        <v>10000</v>
      </c>
      <c r="F650" s="736">
        <v>2500</v>
      </c>
      <c r="G650" s="737">
        <v>2500</v>
      </c>
      <c r="H650" s="738" t="s">
        <v>23</v>
      </c>
      <c r="I650" s="739"/>
      <c r="J650" s="740"/>
      <c r="K650" s="740"/>
      <c r="L650" s="740"/>
      <c r="M650" s="740"/>
      <c r="N650" s="742"/>
      <c r="P650" s="743"/>
    </row>
    <row r="651" spans="1:16" s="733" customFormat="1" ht="22.5" customHeight="1" x14ac:dyDescent="0.3">
      <c r="A651" s="716">
        <v>643</v>
      </c>
      <c r="B651" s="744"/>
      <c r="C651" s="745">
        <v>102</v>
      </c>
      <c r="D651" s="746" t="s">
        <v>80</v>
      </c>
      <c r="E651" s="736">
        <v>1200</v>
      </c>
      <c r="F651" s="736">
        <v>1200</v>
      </c>
      <c r="G651" s="737">
        <v>1200</v>
      </c>
      <c r="H651" s="738" t="s">
        <v>23</v>
      </c>
      <c r="I651" s="739"/>
      <c r="J651" s="740"/>
      <c r="K651" s="740"/>
      <c r="L651" s="740"/>
      <c r="M651" s="740"/>
      <c r="N651" s="742"/>
      <c r="P651" s="743"/>
    </row>
    <row r="652" spans="1:16" s="761" customFormat="1" ht="18" customHeight="1" x14ac:dyDescent="0.3">
      <c r="A652" s="716">
        <v>644</v>
      </c>
      <c r="B652" s="757"/>
      <c r="C652" s="758"/>
      <c r="D652" s="241" t="s">
        <v>245</v>
      </c>
      <c r="E652" s="759"/>
      <c r="F652" s="759"/>
      <c r="G652" s="1366"/>
      <c r="H652" s="760"/>
      <c r="I652" s="739">
        <f>SUM(J652:N652)</f>
        <v>1500</v>
      </c>
      <c r="J652" s="741"/>
      <c r="K652" s="741"/>
      <c r="L652" s="741">
        <v>1500</v>
      </c>
      <c r="M652" s="741"/>
      <c r="N652" s="750"/>
    </row>
    <row r="653" spans="1:16" s="761" customFormat="1" ht="18" customHeight="1" x14ac:dyDescent="0.3">
      <c r="A653" s="716">
        <v>645</v>
      </c>
      <c r="B653" s="757"/>
      <c r="C653" s="758"/>
      <c r="D653" s="377" t="s">
        <v>810</v>
      </c>
      <c r="E653" s="759"/>
      <c r="F653" s="759"/>
      <c r="G653" s="1366"/>
      <c r="H653" s="760"/>
      <c r="I653" s="1446">
        <f>SUM(J653:N653)</f>
        <v>1500</v>
      </c>
      <c r="J653" s="1099"/>
      <c r="K653" s="1099"/>
      <c r="L653" s="1099">
        <v>1500</v>
      </c>
      <c r="M653" s="741"/>
      <c r="N653" s="750"/>
    </row>
    <row r="654" spans="1:16" s="761" customFormat="1" ht="18" customHeight="1" x14ac:dyDescent="0.3">
      <c r="A654" s="716">
        <v>646</v>
      </c>
      <c r="B654" s="757"/>
      <c r="C654" s="758"/>
      <c r="D654" s="910" t="s">
        <v>652</v>
      </c>
      <c r="E654" s="759"/>
      <c r="F654" s="759"/>
      <c r="G654" s="1366"/>
      <c r="H654" s="760"/>
      <c r="I654" s="296">
        <f>SUM(J654:Q654)</f>
        <v>0</v>
      </c>
      <c r="J654" s="1105"/>
      <c r="K654" s="1105"/>
      <c r="L654" s="1105"/>
      <c r="M654" s="1105"/>
      <c r="N654" s="1115"/>
    </row>
    <row r="655" spans="1:16" s="761" customFormat="1" ht="18" customHeight="1" x14ac:dyDescent="0.3">
      <c r="A655" s="716">
        <v>647</v>
      </c>
      <c r="B655" s="757"/>
      <c r="C655" s="758"/>
      <c r="D655" s="377" t="s">
        <v>858</v>
      </c>
      <c r="E655" s="759"/>
      <c r="F655" s="759"/>
      <c r="G655" s="1366"/>
      <c r="H655" s="760"/>
      <c r="I655" s="443">
        <f>SUM(J655:Q655)</f>
        <v>1500</v>
      </c>
      <c r="J655" s="741"/>
      <c r="K655" s="741"/>
      <c r="L655" s="1099">
        <f>SUM(L653:L654)</f>
        <v>1500</v>
      </c>
      <c r="M655" s="741"/>
      <c r="N655" s="750"/>
    </row>
    <row r="656" spans="1:16" s="733" customFormat="1" ht="22.5" customHeight="1" x14ac:dyDescent="0.3">
      <c r="A656" s="716">
        <v>648</v>
      </c>
      <c r="B656" s="744"/>
      <c r="C656" s="745">
        <v>103</v>
      </c>
      <c r="D656" s="746" t="s">
        <v>81</v>
      </c>
      <c r="E656" s="736">
        <v>1392</v>
      </c>
      <c r="F656" s="736">
        <v>4608</v>
      </c>
      <c r="G656" s="737">
        <v>4279</v>
      </c>
      <c r="H656" s="738" t="s">
        <v>23</v>
      </c>
      <c r="I656" s="739"/>
      <c r="J656" s="740"/>
      <c r="K656" s="740"/>
      <c r="L656" s="740"/>
      <c r="M656" s="740"/>
      <c r="N656" s="742"/>
      <c r="P656" s="743"/>
    </row>
    <row r="657" spans="1:16" s="761" customFormat="1" ht="18" customHeight="1" x14ac:dyDescent="0.3">
      <c r="A657" s="716">
        <v>649</v>
      </c>
      <c r="B657" s="757"/>
      <c r="C657" s="758"/>
      <c r="D657" s="241" t="s">
        <v>245</v>
      </c>
      <c r="E657" s="759"/>
      <c r="F657" s="759"/>
      <c r="G657" s="1366"/>
      <c r="H657" s="760"/>
      <c r="I657" s="739">
        <f>SUM(J657:N657)</f>
        <v>6329</v>
      </c>
      <c r="J657" s="741"/>
      <c r="K657" s="741"/>
      <c r="L657" s="741">
        <f>6000+329</f>
        <v>6329</v>
      </c>
      <c r="M657" s="741"/>
      <c r="N657" s="750"/>
    </row>
    <row r="658" spans="1:16" s="761" customFormat="1" ht="18" customHeight="1" x14ac:dyDescent="0.3">
      <c r="A658" s="716">
        <v>650</v>
      </c>
      <c r="B658" s="757"/>
      <c r="C658" s="758"/>
      <c r="D658" s="377" t="s">
        <v>810</v>
      </c>
      <c r="E658" s="759"/>
      <c r="F658" s="759"/>
      <c r="G658" s="1366"/>
      <c r="H658" s="760"/>
      <c r="I658" s="1446">
        <f>SUM(J658:N658)</f>
        <v>6329</v>
      </c>
      <c r="J658" s="1099"/>
      <c r="K658" s="1099"/>
      <c r="L658" s="1099">
        <v>6329</v>
      </c>
      <c r="M658" s="741"/>
      <c r="N658" s="750"/>
    </row>
    <row r="659" spans="1:16" s="761" customFormat="1" ht="18" customHeight="1" x14ac:dyDescent="0.3">
      <c r="A659" s="716">
        <v>651</v>
      </c>
      <c r="B659" s="757"/>
      <c r="C659" s="758"/>
      <c r="D659" s="910" t="s">
        <v>652</v>
      </c>
      <c r="E659" s="759"/>
      <c r="F659" s="759"/>
      <c r="G659" s="1366"/>
      <c r="H659" s="760"/>
      <c r="I659" s="296">
        <f>SUM(J659:Q659)</f>
        <v>0</v>
      </c>
      <c r="J659" s="1105"/>
      <c r="K659" s="1105"/>
      <c r="L659" s="1105"/>
      <c r="M659" s="1105"/>
      <c r="N659" s="1115"/>
    </row>
    <row r="660" spans="1:16" s="761" customFormat="1" ht="18" customHeight="1" x14ac:dyDescent="0.3">
      <c r="A660" s="716">
        <v>652</v>
      </c>
      <c r="B660" s="757"/>
      <c r="C660" s="758"/>
      <c r="D660" s="377" t="s">
        <v>858</v>
      </c>
      <c r="E660" s="759"/>
      <c r="F660" s="759"/>
      <c r="G660" s="1366"/>
      <c r="H660" s="760"/>
      <c r="I660" s="443">
        <f>SUM(J660:Q660)</f>
        <v>6329</v>
      </c>
      <c r="J660" s="741"/>
      <c r="K660" s="741"/>
      <c r="L660" s="1099">
        <f>SUM(L658:L659)</f>
        <v>6329</v>
      </c>
      <c r="M660" s="741"/>
      <c r="N660" s="750"/>
    </row>
    <row r="661" spans="1:16" s="733" customFormat="1" ht="22.5" customHeight="1" x14ac:dyDescent="0.3">
      <c r="A661" s="716">
        <v>653</v>
      </c>
      <c r="B661" s="744"/>
      <c r="C661" s="745">
        <v>104</v>
      </c>
      <c r="D661" s="746" t="s">
        <v>355</v>
      </c>
      <c r="E661" s="736">
        <v>24989</v>
      </c>
      <c r="F661" s="736">
        <v>53144</v>
      </c>
      <c r="G661" s="737">
        <v>37643</v>
      </c>
      <c r="H661" s="738" t="s">
        <v>23</v>
      </c>
      <c r="I661" s="739"/>
      <c r="J661" s="740"/>
      <c r="K661" s="740"/>
      <c r="L661" s="740"/>
      <c r="M661" s="740"/>
      <c r="N661" s="742"/>
      <c r="P661" s="743"/>
    </row>
    <row r="662" spans="1:16" s="761" customFormat="1" ht="18" customHeight="1" x14ac:dyDescent="0.3">
      <c r="A662" s="716">
        <v>654</v>
      </c>
      <c r="B662" s="757"/>
      <c r="C662" s="758"/>
      <c r="D662" s="241" t="s">
        <v>245</v>
      </c>
      <c r="E662" s="759"/>
      <c r="F662" s="759"/>
      <c r="G662" s="1366"/>
      <c r="H662" s="760"/>
      <c r="I662" s="739">
        <f>SUM(J662:N662)</f>
        <v>83533</v>
      </c>
      <c r="J662" s="741"/>
      <c r="K662" s="741"/>
      <c r="L662" s="741">
        <f>47245+36288</f>
        <v>83533</v>
      </c>
      <c r="M662" s="741"/>
      <c r="N662" s="750"/>
    </row>
    <row r="663" spans="1:16" s="761" customFormat="1" ht="18" customHeight="1" x14ac:dyDescent="0.3">
      <c r="A663" s="716">
        <v>655</v>
      </c>
      <c r="B663" s="757"/>
      <c r="C663" s="758"/>
      <c r="D663" s="377" t="s">
        <v>810</v>
      </c>
      <c r="E663" s="759"/>
      <c r="F663" s="759"/>
      <c r="G663" s="1366"/>
      <c r="H663" s="760"/>
      <c r="I663" s="1446">
        <f>SUM(J663:N663)</f>
        <v>83896</v>
      </c>
      <c r="J663" s="1099"/>
      <c r="K663" s="1099"/>
      <c r="L663" s="1099">
        <v>83896</v>
      </c>
      <c r="M663" s="741"/>
      <c r="N663" s="750"/>
    </row>
    <row r="664" spans="1:16" s="761" customFormat="1" ht="18" customHeight="1" x14ac:dyDescent="0.3">
      <c r="A664" s="716">
        <v>656</v>
      </c>
      <c r="B664" s="757"/>
      <c r="C664" s="758"/>
      <c r="D664" s="910" t="s">
        <v>1111</v>
      </c>
      <c r="E664" s="759"/>
      <c r="F664" s="759"/>
      <c r="G664" s="1366"/>
      <c r="H664" s="760"/>
      <c r="I664" s="296">
        <f>SUM(J664:Q664)</f>
        <v>2849</v>
      </c>
      <c r="J664" s="1105"/>
      <c r="K664" s="1105"/>
      <c r="L664" s="1105">
        <v>2849</v>
      </c>
      <c r="M664" s="1105"/>
      <c r="N664" s="1115"/>
    </row>
    <row r="665" spans="1:16" s="761" customFormat="1" ht="18" customHeight="1" x14ac:dyDescent="0.3">
      <c r="A665" s="716">
        <v>657</v>
      </c>
      <c r="B665" s="757"/>
      <c r="C665" s="758"/>
      <c r="D665" s="377" t="s">
        <v>858</v>
      </c>
      <c r="E665" s="759"/>
      <c r="F665" s="759"/>
      <c r="G665" s="1366"/>
      <c r="H665" s="760"/>
      <c r="I665" s="443">
        <f>SUM(J665:Q665)</f>
        <v>86745</v>
      </c>
      <c r="J665" s="741"/>
      <c r="K665" s="741"/>
      <c r="L665" s="1099">
        <f>SUM(L663:L664)</f>
        <v>86745</v>
      </c>
      <c r="M665" s="741"/>
      <c r="N665" s="750"/>
    </row>
    <row r="666" spans="1:16" s="733" customFormat="1" ht="22.5" customHeight="1" x14ac:dyDescent="0.3">
      <c r="A666" s="716">
        <v>658</v>
      </c>
      <c r="B666" s="744"/>
      <c r="C666" s="745">
        <v>105</v>
      </c>
      <c r="D666" s="746" t="s">
        <v>82</v>
      </c>
      <c r="E666" s="736">
        <v>682755</v>
      </c>
      <c r="F666" s="736">
        <v>897958</v>
      </c>
      <c r="G666" s="737">
        <v>685105</v>
      </c>
      <c r="H666" s="738" t="s">
        <v>23</v>
      </c>
      <c r="I666" s="739"/>
      <c r="J666" s="740"/>
      <c r="K666" s="740"/>
      <c r="L666" s="740"/>
      <c r="M666" s="740"/>
      <c r="N666" s="742"/>
      <c r="P666" s="743"/>
    </row>
    <row r="667" spans="1:16" s="761" customFormat="1" ht="18" customHeight="1" x14ac:dyDescent="0.3">
      <c r="A667" s="716">
        <v>659</v>
      </c>
      <c r="B667" s="757"/>
      <c r="C667" s="758"/>
      <c r="D667" s="241" t="s">
        <v>245</v>
      </c>
      <c r="E667" s="759"/>
      <c r="F667" s="759"/>
      <c r="G667" s="1366"/>
      <c r="H667" s="760"/>
      <c r="I667" s="739">
        <f>SUM(J667:N667)</f>
        <v>879184</v>
      </c>
      <c r="J667" s="741"/>
      <c r="K667" s="741"/>
      <c r="L667" s="741">
        <f>646000+233184</f>
        <v>879184</v>
      </c>
      <c r="M667" s="741"/>
      <c r="N667" s="750"/>
    </row>
    <row r="668" spans="1:16" s="761" customFormat="1" ht="18" customHeight="1" x14ac:dyDescent="0.3">
      <c r="A668" s="716">
        <v>660</v>
      </c>
      <c r="B668" s="757"/>
      <c r="C668" s="758"/>
      <c r="D668" s="377" t="s">
        <v>810</v>
      </c>
      <c r="E668" s="759"/>
      <c r="F668" s="759"/>
      <c r="G668" s="1366"/>
      <c r="H668" s="760"/>
      <c r="I668" s="1446">
        <f>SUM(J668:N668)</f>
        <v>879184</v>
      </c>
      <c r="J668" s="1099"/>
      <c r="K668" s="1099"/>
      <c r="L668" s="1099">
        <v>879184</v>
      </c>
      <c r="M668" s="741"/>
      <c r="N668" s="750"/>
    </row>
    <row r="669" spans="1:16" s="761" customFormat="1" ht="18" customHeight="1" x14ac:dyDescent="0.3">
      <c r="A669" s="716">
        <v>661</v>
      </c>
      <c r="B669" s="757"/>
      <c r="C669" s="758"/>
      <c r="D669" s="910" t="s">
        <v>652</v>
      </c>
      <c r="E669" s="759"/>
      <c r="F669" s="759"/>
      <c r="G669" s="1366"/>
      <c r="H669" s="760"/>
      <c r="I669" s="296">
        <f>SUM(J669:Q669)</f>
        <v>0</v>
      </c>
      <c r="J669" s="1105"/>
      <c r="K669" s="1105"/>
      <c r="L669" s="1105"/>
      <c r="M669" s="1105"/>
      <c r="N669" s="1115"/>
    </row>
    <row r="670" spans="1:16" s="761" customFormat="1" ht="18" customHeight="1" x14ac:dyDescent="0.3">
      <c r="A670" s="716">
        <v>662</v>
      </c>
      <c r="B670" s="757"/>
      <c r="C670" s="758"/>
      <c r="D670" s="377" t="s">
        <v>858</v>
      </c>
      <c r="E670" s="759"/>
      <c r="F670" s="759"/>
      <c r="G670" s="1366"/>
      <c r="H670" s="760"/>
      <c r="I670" s="443">
        <f>SUM(J670:Q670)</f>
        <v>879184</v>
      </c>
      <c r="J670" s="741"/>
      <c r="K670" s="741"/>
      <c r="L670" s="1099">
        <f>SUM(L668:L669)</f>
        <v>879184</v>
      </c>
      <c r="M670" s="741"/>
      <c r="N670" s="750"/>
    </row>
    <row r="671" spans="1:16" s="733" customFormat="1" ht="22.5" customHeight="1" x14ac:dyDescent="0.3">
      <c r="A671" s="716">
        <v>663</v>
      </c>
      <c r="B671" s="744"/>
      <c r="C671" s="745">
        <v>106</v>
      </c>
      <c r="D671" s="746" t="s">
        <v>83</v>
      </c>
      <c r="E671" s="736">
        <v>4285</v>
      </c>
      <c r="F671" s="736">
        <v>8959</v>
      </c>
      <c r="G671" s="737">
        <v>5244</v>
      </c>
      <c r="H671" s="738" t="s">
        <v>23</v>
      </c>
      <c r="I671" s="739"/>
      <c r="J671" s="740"/>
      <c r="K671" s="740"/>
      <c r="L671" s="740"/>
      <c r="M671" s="740"/>
      <c r="N671" s="742"/>
      <c r="P671" s="743"/>
    </row>
    <row r="672" spans="1:16" s="761" customFormat="1" ht="18" customHeight="1" x14ac:dyDescent="0.3">
      <c r="A672" s="716">
        <v>664</v>
      </c>
      <c r="B672" s="757"/>
      <c r="C672" s="758"/>
      <c r="D672" s="241" t="s">
        <v>245</v>
      </c>
      <c r="E672" s="759"/>
      <c r="F672" s="759"/>
      <c r="G672" s="1366"/>
      <c r="H672" s="760"/>
      <c r="I672" s="739">
        <f>SUM(J672:N672)</f>
        <v>10715</v>
      </c>
      <c r="J672" s="741"/>
      <c r="K672" s="741"/>
      <c r="L672" s="741">
        <f>7000+3715</f>
        <v>10715</v>
      </c>
      <c r="M672" s="741"/>
      <c r="N672" s="750"/>
    </row>
    <row r="673" spans="1:16" s="761" customFormat="1" ht="18" customHeight="1" x14ac:dyDescent="0.3">
      <c r="A673" s="716">
        <v>665</v>
      </c>
      <c r="B673" s="757"/>
      <c r="C673" s="758"/>
      <c r="D673" s="377" t="s">
        <v>810</v>
      </c>
      <c r="E673" s="759"/>
      <c r="F673" s="759"/>
      <c r="G673" s="1366"/>
      <c r="H673" s="760"/>
      <c r="I673" s="1446">
        <f>SUM(J673:N673)</f>
        <v>10715</v>
      </c>
      <c r="J673" s="1099"/>
      <c r="K673" s="1099"/>
      <c r="L673" s="1099">
        <v>10715</v>
      </c>
      <c r="M673" s="741"/>
      <c r="N673" s="750"/>
    </row>
    <row r="674" spans="1:16" s="761" customFormat="1" ht="18" customHeight="1" x14ac:dyDescent="0.3">
      <c r="A674" s="716">
        <v>666</v>
      </c>
      <c r="B674" s="757"/>
      <c r="C674" s="758"/>
      <c r="D674" s="910" t="s">
        <v>652</v>
      </c>
      <c r="E674" s="759"/>
      <c r="F674" s="759"/>
      <c r="G674" s="1366"/>
      <c r="H674" s="760"/>
      <c r="I674" s="296">
        <f>SUM(J674:Q674)</f>
        <v>0</v>
      </c>
      <c r="J674" s="1105"/>
      <c r="K674" s="1105"/>
      <c r="L674" s="1105"/>
      <c r="M674" s="1105"/>
      <c r="N674" s="1115"/>
    </row>
    <row r="675" spans="1:16" s="761" customFormat="1" ht="18" customHeight="1" x14ac:dyDescent="0.3">
      <c r="A675" s="716">
        <v>667</v>
      </c>
      <c r="B675" s="757"/>
      <c r="C675" s="758"/>
      <c r="D675" s="377" t="s">
        <v>858</v>
      </c>
      <c r="E675" s="759"/>
      <c r="F675" s="759"/>
      <c r="G675" s="1366"/>
      <c r="H675" s="760"/>
      <c r="I675" s="443">
        <f>SUM(J675:Q675)</f>
        <v>10715</v>
      </c>
      <c r="J675" s="741"/>
      <c r="K675" s="741"/>
      <c r="L675" s="1099">
        <f>SUM(L673:L674)</f>
        <v>10715</v>
      </c>
      <c r="M675" s="741"/>
      <c r="N675" s="750"/>
    </row>
    <row r="676" spans="1:16" s="733" customFormat="1" ht="22.5" customHeight="1" x14ac:dyDescent="0.3">
      <c r="A676" s="716">
        <v>668</v>
      </c>
      <c r="B676" s="744"/>
      <c r="C676" s="745">
        <v>107</v>
      </c>
      <c r="D676" s="746" t="s">
        <v>84</v>
      </c>
      <c r="E676" s="736">
        <v>3251</v>
      </c>
      <c r="F676" s="736">
        <v>9653</v>
      </c>
      <c r="G676" s="737">
        <v>2081</v>
      </c>
      <c r="H676" s="738" t="s">
        <v>23</v>
      </c>
      <c r="I676" s="739"/>
      <c r="J676" s="740"/>
      <c r="K676" s="740"/>
      <c r="L676" s="740"/>
      <c r="M676" s="740"/>
      <c r="N676" s="742"/>
      <c r="P676" s="743"/>
    </row>
    <row r="677" spans="1:16" s="761" customFormat="1" ht="18" customHeight="1" x14ac:dyDescent="0.3">
      <c r="A677" s="716">
        <v>669</v>
      </c>
      <c r="B677" s="757"/>
      <c r="C677" s="758"/>
      <c r="D677" s="241" t="s">
        <v>245</v>
      </c>
      <c r="E677" s="759"/>
      <c r="F677" s="759"/>
      <c r="G677" s="1366"/>
      <c r="H677" s="760"/>
      <c r="I677" s="739">
        <f>SUM(J677:N677)</f>
        <v>6554</v>
      </c>
      <c r="J677" s="741"/>
      <c r="K677" s="741"/>
      <c r="L677" s="741">
        <f>2000+4554</f>
        <v>6554</v>
      </c>
      <c r="M677" s="741"/>
      <c r="N677" s="750"/>
    </row>
    <row r="678" spans="1:16" s="761" customFormat="1" ht="18" customHeight="1" x14ac:dyDescent="0.3">
      <c r="A678" s="716">
        <v>670</v>
      </c>
      <c r="B678" s="757"/>
      <c r="C678" s="758"/>
      <c r="D678" s="377" t="s">
        <v>810</v>
      </c>
      <c r="E678" s="759"/>
      <c r="F678" s="759"/>
      <c r="G678" s="1366"/>
      <c r="H678" s="760"/>
      <c r="I678" s="1446">
        <f>SUM(J678:N678)</f>
        <v>6554</v>
      </c>
      <c r="J678" s="1099"/>
      <c r="K678" s="1099"/>
      <c r="L678" s="1099">
        <v>6554</v>
      </c>
      <c r="M678" s="741"/>
      <c r="N678" s="750"/>
    </row>
    <row r="679" spans="1:16" s="761" customFormat="1" ht="18" customHeight="1" x14ac:dyDescent="0.3">
      <c r="A679" s="716">
        <v>671</v>
      </c>
      <c r="B679" s="757"/>
      <c r="C679" s="758"/>
      <c r="D679" s="910" t="s">
        <v>652</v>
      </c>
      <c r="E679" s="759"/>
      <c r="F679" s="759"/>
      <c r="G679" s="1366"/>
      <c r="H679" s="760"/>
      <c r="I679" s="296">
        <f>SUM(J679:Q679)</f>
        <v>0</v>
      </c>
      <c r="J679" s="1099"/>
      <c r="K679" s="1099"/>
      <c r="L679" s="1099"/>
      <c r="M679" s="1099"/>
      <c r="N679" s="1104"/>
    </row>
    <row r="680" spans="1:16" s="761" customFormat="1" ht="18" customHeight="1" x14ac:dyDescent="0.3">
      <c r="A680" s="716">
        <v>672</v>
      </c>
      <c r="B680" s="757"/>
      <c r="C680" s="758"/>
      <c r="D680" s="377" t="s">
        <v>858</v>
      </c>
      <c r="E680" s="759"/>
      <c r="F680" s="759"/>
      <c r="G680" s="1366"/>
      <c r="H680" s="760"/>
      <c r="I680" s="443">
        <f>SUM(J680:Q680)</f>
        <v>6554</v>
      </c>
      <c r="J680" s="741"/>
      <c r="K680" s="741"/>
      <c r="L680" s="1099">
        <f>SUM(L678:L679)</f>
        <v>6554</v>
      </c>
      <c r="M680" s="741"/>
      <c r="N680" s="750"/>
    </row>
    <row r="681" spans="1:16" s="733" customFormat="1" ht="22.5" customHeight="1" x14ac:dyDescent="0.3">
      <c r="A681" s="716">
        <v>673</v>
      </c>
      <c r="B681" s="744"/>
      <c r="C681" s="745">
        <v>108</v>
      </c>
      <c r="D681" s="746" t="s">
        <v>85</v>
      </c>
      <c r="E681" s="736">
        <v>436</v>
      </c>
      <c r="F681" s="736">
        <v>2700</v>
      </c>
      <c r="G681" s="737">
        <v>4886</v>
      </c>
      <c r="H681" s="738" t="s">
        <v>23</v>
      </c>
      <c r="I681" s="739"/>
      <c r="J681" s="740"/>
      <c r="K681" s="740"/>
      <c r="L681" s="740"/>
      <c r="M681" s="740"/>
      <c r="N681" s="742"/>
      <c r="P681" s="743"/>
    </row>
    <row r="682" spans="1:16" s="761" customFormat="1" ht="18" customHeight="1" x14ac:dyDescent="0.3">
      <c r="A682" s="716">
        <v>674</v>
      </c>
      <c r="B682" s="757"/>
      <c r="C682" s="758"/>
      <c r="D682" s="241" t="s">
        <v>245</v>
      </c>
      <c r="E682" s="759"/>
      <c r="F682" s="759"/>
      <c r="G682" s="1366"/>
      <c r="H682" s="760"/>
      <c r="I682" s="739">
        <f>SUM(J682:N682)</f>
        <v>13098</v>
      </c>
      <c r="J682" s="741"/>
      <c r="K682" s="741"/>
      <c r="L682" s="741">
        <f>10000+3098</f>
        <v>13098</v>
      </c>
      <c r="M682" s="741"/>
      <c r="N682" s="750"/>
    </row>
    <row r="683" spans="1:16" s="761" customFormat="1" ht="18" customHeight="1" x14ac:dyDescent="0.3">
      <c r="A683" s="716">
        <v>675</v>
      </c>
      <c r="B683" s="757"/>
      <c r="C683" s="758"/>
      <c r="D683" s="377" t="s">
        <v>810</v>
      </c>
      <c r="E683" s="759"/>
      <c r="F683" s="759"/>
      <c r="G683" s="1366"/>
      <c r="H683" s="760"/>
      <c r="I683" s="1446">
        <f>SUM(J683:N683)</f>
        <v>13098</v>
      </c>
      <c r="J683" s="1099"/>
      <c r="K683" s="1099"/>
      <c r="L683" s="1099">
        <v>13098</v>
      </c>
      <c r="M683" s="741"/>
      <c r="N683" s="750"/>
    </row>
    <row r="684" spans="1:16" s="761" customFormat="1" ht="18" customHeight="1" x14ac:dyDescent="0.3">
      <c r="A684" s="716">
        <v>676</v>
      </c>
      <c r="B684" s="757"/>
      <c r="C684" s="758"/>
      <c r="D684" s="910" t="s">
        <v>652</v>
      </c>
      <c r="E684" s="759"/>
      <c r="F684" s="759"/>
      <c r="G684" s="1366"/>
      <c r="H684" s="760"/>
      <c r="I684" s="296">
        <f>SUM(J684:Q684)</f>
        <v>0</v>
      </c>
      <c r="J684" s="1105"/>
      <c r="K684" s="1105"/>
      <c r="L684" s="1105"/>
      <c r="M684" s="1105"/>
      <c r="N684" s="1115"/>
    </row>
    <row r="685" spans="1:16" s="761" customFormat="1" ht="18" customHeight="1" x14ac:dyDescent="0.3">
      <c r="A685" s="716">
        <v>677</v>
      </c>
      <c r="B685" s="757"/>
      <c r="C685" s="758"/>
      <c r="D685" s="377" t="s">
        <v>858</v>
      </c>
      <c r="E685" s="759"/>
      <c r="F685" s="759"/>
      <c r="G685" s="1366"/>
      <c r="H685" s="760"/>
      <c r="I685" s="443">
        <f>SUM(J685:Q685)</f>
        <v>13098</v>
      </c>
      <c r="J685" s="741"/>
      <c r="K685" s="741"/>
      <c r="L685" s="1099">
        <f>SUM(L683:L684)</f>
        <v>13098</v>
      </c>
      <c r="M685" s="741"/>
      <c r="N685" s="750"/>
    </row>
    <row r="686" spans="1:16" s="733" customFormat="1" ht="22.5" customHeight="1" x14ac:dyDescent="0.3">
      <c r="A686" s="716">
        <v>678</v>
      </c>
      <c r="B686" s="744"/>
      <c r="C686" s="745">
        <v>109</v>
      </c>
      <c r="D686" s="804" t="s">
        <v>249</v>
      </c>
      <c r="E686" s="736">
        <v>101213</v>
      </c>
      <c r="F686" s="736">
        <v>100864</v>
      </c>
      <c r="G686" s="737">
        <v>93467</v>
      </c>
      <c r="H686" s="738" t="s">
        <v>23</v>
      </c>
      <c r="I686" s="739"/>
      <c r="J686" s="740"/>
      <c r="K686" s="740"/>
      <c r="L686" s="740"/>
      <c r="M686" s="740"/>
      <c r="N686" s="742"/>
      <c r="P686" s="743"/>
    </row>
    <row r="687" spans="1:16" s="761" customFormat="1" ht="18" customHeight="1" x14ac:dyDescent="0.3">
      <c r="A687" s="716">
        <v>679</v>
      </c>
      <c r="B687" s="757"/>
      <c r="C687" s="758"/>
      <c r="D687" s="241" t="s">
        <v>245</v>
      </c>
      <c r="E687" s="759"/>
      <c r="F687" s="759"/>
      <c r="G687" s="1366"/>
      <c r="H687" s="760"/>
      <c r="I687" s="739">
        <f>SUM(J687:N687)</f>
        <v>105280</v>
      </c>
      <c r="J687" s="741"/>
      <c r="K687" s="741"/>
      <c r="L687" s="741">
        <f>105280</f>
        <v>105280</v>
      </c>
      <c r="M687" s="741"/>
      <c r="N687" s="750"/>
    </row>
    <row r="688" spans="1:16" s="761" customFormat="1" ht="18" customHeight="1" x14ac:dyDescent="0.3">
      <c r="A688" s="716">
        <v>680</v>
      </c>
      <c r="B688" s="757"/>
      <c r="C688" s="758"/>
      <c r="D688" s="377" t="s">
        <v>810</v>
      </c>
      <c r="E688" s="759"/>
      <c r="F688" s="759"/>
      <c r="G688" s="1366"/>
      <c r="H688" s="760"/>
      <c r="I688" s="1446">
        <f>SUM(J688:N688)</f>
        <v>105280</v>
      </c>
      <c r="J688" s="1099"/>
      <c r="K688" s="1099"/>
      <c r="L688" s="1099">
        <v>105280</v>
      </c>
      <c r="M688" s="741"/>
      <c r="N688" s="750"/>
    </row>
    <row r="689" spans="1:16" s="761" customFormat="1" ht="18" customHeight="1" x14ac:dyDescent="0.3">
      <c r="A689" s="716">
        <v>681</v>
      </c>
      <c r="B689" s="757"/>
      <c r="C689" s="758"/>
      <c r="D689" s="910" t="s">
        <v>652</v>
      </c>
      <c r="E689" s="759"/>
      <c r="F689" s="759"/>
      <c r="G689" s="1366"/>
      <c r="H689" s="760"/>
      <c r="I689" s="296">
        <f>SUM(J689:Q689)</f>
        <v>0</v>
      </c>
      <c r="J689" s="1105"/>
      <c r="K689" s="1105"/>
      <c r="L689" s="1105"/>
      <c r="M689" s="1105"/>
      <c r="N689" s="1115"/>
    </row>
    <row r="690" spans="1:16" s="761" customFormat="1" ht="18" customHeight="1" x14ac:dyDescent="0.3">
      <c r="A690" s="716">
        <v>682</v>
      </c>
      <c r="B690" s="757"/>
      <c r="C690" s="758"/>
      <c r="D690" s="377" t="s">
        <v>858</v>
      </c>
      <c r="E690" s="759"/>
      <c r="F690" s="759"/>
      <c r="G690" s="1366"/>
      <c r="H690" s="760"/>
      <c r="I690" s="443">
        <f>SUM(J690:Q690)</f>
        <v>105280</v>
      </c>
      <c r="J690" s="741"/>
      <c r="K690" s="741"/>
      <c r="L690" s="1099">
        <f>SUM(L688:L689)</f>
        <v>105280</v>
      </c>
      <c r="M690" s="741"/>
      <c r="N690" s="750"/>
    </row>
    <row r="691" spans="1:16" s="733" customFormat="1" ht="22.5" customHeight="1" x14ac:dyDescent="0.3">
      <c r="A691" s="716">
        <v>683</v>
      </c>
      <c r="B691" s="744"/>
      <c r="C691" s="745">
        <v>110</v>
      </c>
      <c r="D691" s="804" t="s">
        <v>336</v>
      </c>
      <c r="E691" s="736">
        <v>67900</v>
      </c>
      <c r="F691" s="736">
        <v>82100</v>
      </c>
      <c r="G691" s="737">
        <v>79100</v>
      </c>
      <c r="H691" s="738" t="s">
        <v>23</v>
      </c>
      <c r="I691" s="739"/>
      <c r="J691" s="740"/>
      <c r="K691" s="740"/>
      <c r="L691" s="740"/>
      <c r="M691" s="740"/>
      <c r="N691" s="742"/>
      <c r="P691" s="743"/>
    </row>
    <row r="692" spans="1:16" s="761" customFormat="1" ht="18" customHeight="1" x14ac:dyDescent="0.3">
      <c r="A692" s="716">
        <v>684</v>
      </c>
      <c r="B692" s="757"/>
      <c r="C692" s="758"/>
      <c r="D692" s="241" t="s">
        <v>245</v>
      </c>
      <c r="E692" s="759"/>
      <c r="F692" s="759"/>
      <c r="G692" s="1366"/>
      <c r="H692" s="760"/>
      <c r="I692" s="739">
        <f>SUM(J692:N692)</f>
        <v>73000</v>
      </c>
      <c r="J692" s="741"/>
      <c r="K692" s="741"/>
      <c r="L692" s="741">
        <f>70000+3000</f>
        <v>73000</v>
      </c>
      <c r="M692" s="741"/>
      <c r="N692" s="750"/>
    </row>
    <row r="693" spans="1:16" s="761" customFormat="1" ht="18" customHeight="1" x14ac:dyDescent="0.3">
      <c r="A693" s="716">
        <v>685</v>
      </c>
      <c r="B693" s="757"/>
      <c r="C693" s="758"/>
      <c r="D693" s="377" t="s">
        <v>810</v>
      </c>
      <c r="E693" s="759"/>
      <c r="F693" s="759"/>
      <c r="G693" s="1366"/>
      <c r="H693" s="760"/>
      <c r="I693" s="1446">
        <f>SUM(J693:N693)</f>
        <v>73000</v>
      </c>
      <c r="J693" s="1099"/>
      <c r="K693" s="1099"/>
      <c r="L693" s="1099">
        <v>73000</v>
      </c>
      <c r="M693" s="741"/>
      <c r="N693" s="750"/>
    </row>
    <row r="694" spans="1:16" s="761" customFormat="1" ht="18" customHeight="1" x14ac:dyDescent="0.3">
      <c r="A694" s="716">
        <v>686</v>
      </c>
      <c r="B694" s="757"/>
      <c r="C694" s="758"/>
      <c r="D694" s="910" t="s">
        <v>652</v>
      </c>
      <c r="E694" s="759"/>
      <c r="F694" s="759"/>
      <c r="G694" s="1366"/>
      <c r="H694" s="760"/>
      <c r="I694" s="296">
        <f>SUM(J694:Q694)</f>
        <v>0</v>
      </c>
      <c r="J694" s="1105"/>
      <c r="K694" s="1105"/>
      <c r="L694" s="1105"/>
      <c r="M694" s="1105"/>
      <c r="N694" s="1115"/>
    </row>
    <row r="695" spans="1:16" s="761" customFormat="1" ht="18" customHeight="1" x14ac:dyDescent="0.3">
      <c r="A695" s="716">
        <v>687</v>
      </c>
      <c r="B695" s="757"/>
      <c r="C695" s="758"/>
      <c r="D695" s="377" t="s">
        <v>858</v>
      </c>
      <c r="E695" s="759"/>
      <c r="F695" s="759"/>
      <c r="G695" s="1366"/>
      <c r="H695" s="760"/>
      <c r="I695" s="443">
        <f>SUM(J695:Q695)</f>
        <v>73000</v>
      </c>
      <c r="J695" s="741"/>
      <c r="K695" s="741"/>
      <c r="L695" s="1099">
        <f>SUM(L693:L694)</f>
        <v>73000</v>
      </c>
      <c r="M695" s="741"/>
      <c r="N695" s="750"/>
    </row>
    <row r="696" spans="1:16" s="733" customFormat="1" ht="22.5" customHeight="1" x14ac:dyDescent="0.3">
      <c r="A696" s="716">
        <v>688</v>
      </c>
      <c r="B696" s="744"/>
      <c r="C696" s="745">
        <v>111</v>
      </c>
      <c r="D696" s="804" t="s">
        <v>210</v>
      </c>
      <c r="E696" s="736">
        <v>20000</v>
      </c>
      <c r="F696" s="736">
        <v>20000</v>
      </c>
      <c r="G696" s="737">
        <v>19922</v>
      </c>
      <c r="H696" s="738" t="s">
        <v>23</v>
      </c>
      <c r="I696" s="739"/>
      <c r="J696" s="740"/>
      <c r="K696" s="740"/>
      <c r="L696" s="740"/>
      <c r="M696" s="740"/>
      <c r="N696" s="742"/>
      <c r="P696" s="743"/>
    </row>
    <row r="697" spans="1:16" s="761" customFormat="1" ht="18" customHeight="1" x14ac:dyDescent="0.3">
      <c r="A697" s="716">
        <v>689</v>
      </c>
      <c r="B697" s="757"/>
      <c r="C697" s="758"/>
      <c r="D697" s="241" t="s">
        <v>245</v>
      </c>
      <c r="E697" s="759"/>
      <c r="F697" s="759"/>
      <c r="G697" s="1366"/>
      <c r="H697" s="760"/>
      <c r="I697" s="739">
        <f>SUM(J697:N697)</f>
        <v>20000</v>
      </c>
      <c r="J697" s="741"/>
      <c r="K697" s="741"/>
      <c r="L697" s="741">
        <v>20000</v>
      </c>
      <c r="M697" s="741"/>
      <c r="N697" s="750"/>
    </row>
    <row r="698" spans="1:16" s="761" customFormat="1" ht="18" customHeight="1" x14ac:dyDescent="0.3">
      <c r="A698" s="716">
        <v>690</v>
      </c>
      <c r="B698" s="757"/>
      <c r="C698" s="758"/>
      <c r="D698" s="377" t="s">
        <v>810</v>
      </c>
      <c r="E698" s="759"/>
      <c r="F698" s="759"/>
      <c r="G698" s="1366"/>
      <c r="H698" s="795"/>
      <c r="I698" s="1446">
        <f>SUM(J698:N698)</f>
        <v>25000</v>
      </c>
      <c r="J698" s="1099"/>
      <c r="K698" s="1099"/>
      <c r="L698" s="1099">
        <v>25000</v>
      </c>
      <c r="M698" s="741"/>
      <c r="N698" s="750"/>
    </row>
    <row r="699" spans="1:16" s="761" customFormat="1" ht="18" customHeight="1" x14ac:dyDescent="0.3">
      <c r="A699" s="716">
        <v>691</v>
      </c>
      <c r="B699" s="757"/>
      <c r="C699" s="758"/>
      <c r="D699" s="910" t="s">
        <v>652</v>
      </c>
      <c r="E699" s="759"/>
      <c r="F699" s="759"/>
      <c r="G699" s="1366"/>
      <c r="H699" s="795"/>
      <c r="I699" s="296">
        <f>SUM(J699:Q699)</f>
        <v>0</v>
      </c>
      <c r="J699" s="1105"/>
      <c r="K699" s="1105"/>
      <c r="L699" s="1105"/>
      <c r="M699" s="1105"/>
      <c r="N699" s="1115"/>
    </row>
    <row r="700" spans="1:16" s="761" customFormat="1" ht="18" customHeight="1" x14ac:dyDescent="0.3">
      <c r="A700" s="716">
        <v>692</v>
      </c>
      <c r="B700" s="757"/>
      <c r="C700" s="758"/>
      <c r="D700" s="377" t="s">
        <v>858</v>
      </c>
      <c r="E700" s="759"/>
      <c r="F700" s="759"/>
      <c r="G700" s="1366"/>
      <c r="H700" s="795"/>
      <c r="I700" s="443">
        <f>SUM(J700:Q700)</f>
        <v>25000</v>
      </c>
      <c r="J700" s="741"/>
      <c r="K700" s="741"/>
      <c r="L700" s="1099">
        <f>SUM(L698:L699)</f>
        <v>25000</v>
      </c>
      <c r="M700" s="741"/>
      <c r="N700" s="750"/>
    </row>
    <row r="701" spans="1:16" s="733" customFormat="1" ht="22.5" customHeight="1" x14ac:dyDescent="0.3">
      <c r="A701" s="716">
        <v>693</v>
      </c>
      <c r="B701" s="744"/>
      <c r="C701" s="745">
        <v>112</v>
      </c>
      <c r="D701" s="746" t="s">
        <v>209</v>
      </c>
      <c r="E701" s="736">
        <v>715</v>
      </c>
      <c r="F701" s="736">
        <v>2785</v>
      </c>
      <c r="G701" s="737">
        <v>1483</v>
      </c>
      <c r="H701" s="729" t="s">
        <v>23</v>
      </c>
      <c r="I701" s="739"/>
      <c r="J701" s="740"/>
      <c r="K701" s="740"/>
      <c r="L701" s="740"/>
      <c r="M701" s="740"/>
      <c r="N701" s="742"/>
      <c r="P701" s="743"/>
    </row>
    <row r="702" spans="1:16" s="761" customFormat="1" ht="18" customHeight="1" x14ac:dyDescent="0.3">
      <c r="A702" s="716">
        <v>694</v>
      </c>
      <c r="B702" s="797"/>
      <c r="C702" s="758"/>
      <c r="D702" s="241" t="s">
        <v>245</v>
      </c>
      <c r="E702" s="798"/>
      <c r="F702" s="798"/>
      <c r="G702" s="1367"/>
      <c r="H702" s="795"/>
      <c r="I702" s="739">
        <f>SUM(J702:N702)</f>
        <v>3302</v>
      </c>
      <c r="J702" s="799"/>
      <c r="K702" s="799"/>
      <c r="L702" s="799">
        <f>2000+1302</f>
        <v>3302</v>
      </c>
      <c r="M702" s="799"/>
      <c r="N702" s="782"/>
    </row>
    <row r="703" spans="1:16" s="761" customFormat="1" ht="18" customHeight="1" x14ac:dyDescent="0.3">
      <c r="A703" s="716">
        <v>695</v>
      </c>
      <c r="B703" s="797"/>
      <c r="C703" s="758"/>
      <c r="D703" s="377" t="s">
        <v>810</v>
      </c>
      <c r="E703" s="798"/>
      <c r="F703" s="798"/>
      <c r="G703" s="1367"/>
      <c r="H703" s="795"/>
      <c r="I703" s="1446">
        <f>SUM(J703:N703)</f>
        <v>3302</v>
      </c>
      <c r="J703" s="1098"/>
      <c r="K703" s="1098"/>
      <c r="L703" s="1098">
        <v>3302</v>
      </c>
      <c r="M703" s="799"/>
      <c r="N703" s="782"/>
    </row>
    <row r="704" spans="1:16" s="761" customFormat="1" ht="18" customHeight="1" x14ac:dyDescent="0.3">
      <c r="A704" s="716">
        <v>696</v>
      </c>
      <c r="B704" s="797"/>
      <c r="C704" s="758"/>
      <c r="D704" s="910" t="s">
        <v>652</v>
      </c>
      <c r="E704" s="798"/>
      <c r="F704" s="798"/>
      <c r="G704" s="1367"/>
      <c r="H704" s="795"/>
      <c r="I704" s="296">
        <f>SUM(J704:Q704)</f>
        <v>0</v>
      </c>
      <c r="J704" s="1101"/>
      <c r="K704" s="1101"/>
      <c r="L704" s="1101"/>
      <c r="M704" s="1101"/>
      <c r="N704" s="1119"/>
    </row>
    <row r="705" spans="1:16" s="761" customFormat="1" ht="18" customHeight="1" x14ac:dyDescent="0.3">
      <c r="A705" s="716">
        <v>697</v>
      </c>
      <c r="B705" s="797"/>
      <c r="C705" s="758"/>
      <c r="D705" s="377" t="s">
        <v>858</v>
      </c>
      <c r="E705" s="798"/>
      <c r="F705" s="798"/>
      <c r="G705" s="1367"/>
      <c r="H705" s="795"/>
      <c r="I705" s="443">
        <f>SUM(J705:Q705)</f>
        <v>3302</v>
      </c>
      <c r="J705" s="799"/>
      <c r="K705" s="799"/>
      <c r="L705" s="1098">
        <f>SUM(L703:L704)</f>
        <v>3302</v>
      </c>
      <c r="M705" s="799"/>
      <c r="N705" s="782"/>
    </row>
    <row r="706" spans="1:16" s="733" customFormat="1" ht="22.5" customHeight="1" x14ac:dyDescent="0.3">
      <c r="A706" s="716">
        <v>698</v>
      </c>
      <c r="B706" s="744"/>
      <c r="C706" s="745">
        <v>113</v>
      </c>
      <c r="D706" s="746" t="s">
        <v>273</v>
      </c>
      <c r="E706" s="736">
        <v>13301</v>
      </c>
      <c r="F706" s="736">
        <v>20866</v>
      </c>
      <c r="G706" s="737">
        <v>11048</v>
      </c>
      <c r="H706" s="738" t="s">
        <v>24</v>
      </c>
      <c r="I706" s="739"/>
      <c r="J706" s="740"/>
      <c r="K706" s="740"/>
      <c r="L706" s="740"/>
      <c r="M706" s="740"/>
      <c r="N706" s="742"/>
      <c r="P706" s="743"/>
    </row>
    <row r="707" spans="1:16" s="761" customFormat="1" ht="18" customHeight="1" x14ac:dyDescent="0.3">
      <c r="A707" s="716">
        <v>699</v>
      </c>
      <c r="B707" s="757"/>
      <c r="C707" s="758"/>
      <c r="D707" s="241" t="s">
        <v>245</v>
      </c>
      <c r="E707" s="759"/>
      <c r="F707" s="759"/>
      <c r="G707" s="1366"/>
      <c r="H707" s="760"/>
      <c r="I707" s="739">
        <f>SUM(J707:N707)</f>
        <v>22221</v>
      </c>
      <c r="J707" s="741"/>
      <c r="K707" s="741"/>
      <c r="L707" s="741">
        <f>13250+8971</f>
        <v>22221</v>
      </c>
      <c r="M707" s="741"/>
      <c r="N707" s="750"/>
    </row>
    <row r="708" spans="1:16" s="761" customFormat="1" ht="18" customHeight="1" x14ac:dyDescent="0.3">
      <c r="A708" s="716">
        <v>700</v>
      </c>
      <c r="B708" s="757"/>
      <c r="C708" s="758"/>
      <c r="D708" s="377" t="s">
        <v>810</v>
      </c>
      <c r="E708" s="759"/>
      <c r="F708" s="759"/>
      <c r="G708" s="1366"/>
      <c r="H708" s="760"/>
      <c r="I708" s="1446">
        <f>SUM(J708:N708)</f>
        <v>22221</v>
      </c>
      <c r="J708" s="1099"/>
      <c r="K708" s="1099"/>
      <c r="L708" s="1099">
        <v>22221</v>
      </c>
      <c r="M708" s="741"/>
      <c r="N708" s="750"/>
    </row>
    <row r="709" spans="1:16" s="761" customFormat="1" ht="18" customHeight="1" x14ac:dyDescent="0.3">
      <c r="A709" s="716">
        <v>701</v>
      </c>
      <c r="B709" s="757"/>
      <c r="C709" s="758"/>
      <c r="D709" s="910" t="s">
        <v>652</v>
      </c>
      <c r="E709" s="759"/>
      <c r="F709" s="759"/>
      <c r="G709" s="1366"/>
      <c r="H709" s="760"/>
      <c r="I709" s="296">
        <f>SUM(J709:Q709)</f>
        <v>0</v>
      </c>
      <c r="J709" s="1105"/>
      <c r="K709" s="1105"/>
      <c r="L709" s="1105"/>
      <c r="M709" s="1105"/>
      <c r="N709" s="1115"/>
    </row>
    <row r="710" spans="1:16" s="761" customFormat="1" ht="18" customHeight="1" x14ac:dyDescent="0.3">
      <c r="A710" s="716">
        <v>702</v>
      </c>
      <c r="B710" s="757"/>
      <c r="C710" s="758"/>
      <c r="D710" s="377" t="s">
        <v>858</v>
      </c>
      <c r="E710" s="759"/>
      <c r="F710" s="759"/>
      <c r="G710" s="1366"/>
      <c r="H710" s="760"/>
      <c r="I710" s="443">
        <f>SUM(J710:Q710)</f>
        <v>22221</v>
      </c>
      <c r="J710" s="741"/>
      <c r="K710" s="741"/>
      <c r="L710" s="1099">
        <f>SUM(L708:L709)</f>
        <v>22221</v>
      </c>
      <c r="M710" s="741"/>
      <c r="N710" s="750"/>
    </row>
    <row r="711" spans="1:16" s="733" customFormat="1" ht="22.5" customHeight="1" x14ac:dyDescent="0.3">
      <c r="A711" s="716">
        <v>703</v>
      </c>
      <c r="B711" s="744"/>
      <c r="C711" s="745">
        <v>114</v>
      </c>
      <c r="D711" s="746" t="s">
        <v>508</v>
      </c>
      <c r="E711" s="736">
        <v>3646</v>
      </c>
      <c r="F711" s="736">
        <v>23042</v>
      </c>
      <c r="G711" s="737">
        <v>3088</v>
      </c>
      <c r="H711" s="738" t="s">
        <v>23</v>
      </c>
      <c r="I711" s="739"/>
      <c r="J711" s="740"/>
      <c r="K711" s="740"/>
      <c r="L711" s="740"/>
      <c r="M711" s="740"/>
      <c r="N711" s="742"/>
      <c r="P711" s="743"/>
    </row>
    <row r="712" spans="1:16" s="761" customFormat="1" ht="18" customHeight="1" x14ac:dyDescent="0.3">
      <c r="A712" s="716">
        <v>704</v>
      </c>
      <c r="B712" s="757"/>
      <c r="C712" s="758"/>
      <c r="D712" s="241" t="s">
        <v>245</v>
      </c>
      <c r="E712" s="759"/>
      <c r="F712" s="759"/>
      <c r="G712" s="1366"/>
      <c r="H712" s="760"/>
      <c r="I712" s="739">
        <f>SUM(J712:N712)</f>
        <v>31554</v>
      </c>
      <c r="J712" s="741"/>
      <c r="K712" s="741"/>
      <c r="L712" s="741">
        <f>11600+19954</f>
        <v>31554</v>
      </c>
      <c r="M712" s="741"/>
      <c r="N712" s="750"/>
    </row>
    <row r="713" spans="1:16" s="761" customFormat="1" ht="18" customHeight="1" x14ac:dyDescent="0.3">
      <c r="A713" s="716">
        <v>705</v>
      </c>
      <c r="B713" s="757"/>
      <c r="C713" s="758"/>
      <c r="D713" s="377" t="s">
        <v>810</v>
      </c>
      <c r="E713" s="759"/>
      <c r="F713" s="759"/>
      <c r="G713" s="1366"/>
      <c r="H713" s="760"/>
      <c r="I713" s="1446">
        <f>SUM(J713:N713)</f>
        <v>31554</v>
      </c>
      <c r="J713" s="1099"/>
      <c r="K713" s="1099"/>
      <c r="L713" s="1099">
        <v>31554</v>
      </c>
      <c r="M713" s="741"/>
      <c r="N713" s="750"/>
    </row>
    <row r="714" spans="1:16" s="761" customFormat="1" ht="18" customHeight="1" x14ac:dyDescent="0.3">
      <c r="A714" s="716">
        <v>706</v>
      </c>
      <c r="B714" s="757"/>
      <c r="C714" s="758"/>
      <c r="D714" s="910" t="s">
        <v>895</v>
      </c>
      <c r="E714" s="759"/>
      <c r="F714" s="759"/>
      <c r="G714" s="1366"/>
      <c r="H714" s="760"/>
      <c r="I714" s="296">
        <f>SUM(J714:Q714)</f>
        <v>-400</v>
      </c>
      <c r="J714" s="1105"/>
      <c r="K714" s="1105"/>
      <c r="L714" s="1105">
        <v>-400</v>
      </c>
      <c r="M714" s="1105"/>
      <c r="N714" s="1115"/>
    </row>
    <row r="715" spans="1:16" s="761" customFormat="1" ht="18" customHeight="1" x14ac:dyDescent="0.3">
      <c r="A715" s="716">
        <v>707</v>
      </c>
      <c r="B715" s="757"/>
      <c r="C715" s="758"/>
      <c r="D715" s="377" t="s">
        <v>858</v>
      </c>
      <c r="E715" s="759"/>
      <c r="F715" s="759"/>
      <c r="G715" s="1366"/>
      <c r="H715" s="760"/>
      <c r="I715" s="443">
        <f>SUM(J715:Q715)</f>
        <v>31154</v>
      </c>
      <c r="J715" s="741"/>
      <c r="K715" s="741"/>
      <c r="L715" s="1099">
        <f>SUM(L713:L714)</f>
        <v>31154</v>
      </c>
      <c r="M715" s="741"/>
      <c r="N715" s="750"/>
    </row>
    <row r="716" spans="1:16" s="761" customFormat="1" ht="22.5" customHeight="1" x14ac:dyDescent="0.3">
      <c r="A716" s="716">
        <v>708</v>
      </c>
      <c r="B716" s="757"/>
      <c r="C716" s="745">
        <v>115</v>
      </c>
      <c r="D716" s="746" t="s">
        <v>342</v>
      </c>
      <c r="E716" s="736">
        <v>18042</v>
      </c>
      <c r="F716" s="736">
        <v>20182</v>
      </c>
      <c r="G716" s="737">
        <v>18007</v>
      </c>
      <c r="H716" s="738" t="s">
        <v>23</v>
      </c>
      <c r="I716" s="739"/>
      <c r="J716" s="741"/>
      <c r="K716" s="741"/>
      <c r="L716" s="741"/>
      <c r="M716" s="741"/>
      <c r="N716" s="750"/>
    </row>
    <row r="717" spans="1:16" s="761" customFormat="1" ht="18" customHeight="1" x14ac:dyDescent="0.3">
      <c r="A717" s="716">
        <v>709</v>
      </c>
      <c r="B717" s="757"/>
      <c r="C717" s="758"/>
      <c r="D717" s="241" t="s">
        <v>245</v>
      </c>
      <c r="E717" s="759"/>
      <c r="F717" s="759"/>
      <c r="G717" s="1366"/>
      <c r="H717" s="760"/>
      <c r="I717" s="739">
        <f>SUM(J717:N717)</f>
        <v>20175</v>
      </c>
      <c r="J717" s="741"/>
      <c r="K717" s="741"/>
      <c r="L717" s="741">
        <f>18000+2175</f>
        <v>20175</v>
      </c>
      <c r="M717" s="741"/>
      <c r="N717" s="750"/>
    </row>
    <row r="718" spans="1:16" s="761" customFormat="1" ht="18" customHeight="1" x14ac:dyDescent="0.3">
      <c r="A718" s="716">
        <v>710</v>
      </c>
      <c r="B718" s="757"/>
      <c r="C718" s="758"/>
      <c r="D718" s="377" t="s">
        <v>810</v>
      </c>
      <c r="E718" s="759"/>
      <c r="F718" s="759"/>
      <c r="G718" s="1366"/>
      <c r="H718" s="760"/>
      <c r="I718" s="1446">
        <f>SUM(J718:N718)</f>
        <v>20175</v>
      </c>
      <c r="J718" s="1099"/>
      <c r="K718" s="1099"/>
      <c r="L718" s="1099">
        <v>20175</v>
      </c>
      <c r="M718" s="741"/>
      <c r="N718" s="750"/>
    </row>
    <row r="719" spans="1:16" s="761" customFormat="1" ht="18" customHeight="1" x14ac:dyDescent="0.3">
      <c r="A719" s="716">
        <v>711</v>
      </c>
      <c r="B719" s="757"/>
      <c r="C719" s="758"/>
      <c r="D719" s="910" t="s">
        <v>652</v>
      </c>
      <c r="E719" s="759"/>
      <c r="F719" s="759"/>
      <c r="G719" s="1366"/>
      <c r="H719" s="760"/>
      <c r="I719" s="296">
        <f>SUM(J719:Q719)</f>
        <v>0</v>
      </c>
      <c r="J719" s="1105"/>
      <c r="K719" s="1105"/>
      <c r="L719" s="1105"/>
      <c r="M719" s="1105"/>
      <c r="N719" s="1115"/>
    </row>
    <row r="720" spans="1:16" s="761" customFormat="1" ht="18" customHeight="1" x14ac:dyDescent="0.3">
      <c r="A720" s="716">
        <v>712</v>
      </c>
      <c r="B720" s="757"/>
      <c r="C720" s="758"/>
      <c r="D720" s="377" t="s">
        <v>858</v>
      </c>
      <c r="E720" s="759"/>
      <c r="F720" s="759"/>
      <c r="G720" s="1366"/>
      <c r="H720" s="760"/>
      <c r="I720" s="443">
        <f>SUM(J720:Q720)</f>
        <v>20175</v>
      </c>
      <c r="J720" s="741"/>
      <c r="K720" s="741"/>
      <c r="L720" s="1099">
        <f>SUM(L718:L719)</f>
        <v>20175</v>
      </c>
      <c r="M720" s="741"/>
      <c r="N720" s="750"/>
    </row>
    <row r="721" spans="1:16" s="743" customFormat="1" ht="22.5" customHeight="1" x14ac:dyDescent="0.3">
      <c r="A721" s="716">
        <v>713</v>
      </c>
      <c r="B721" s="805"/>
      <c r="C721" s="745">
        <v>116</v>
      </c>
      <c r="D721" s="746" t="s">
        <v>231</v>
      </c>
      <c r="E721" s="736">
        <v>225831</v>
      </c>
      <c r="F721" s="736">
        <v>249886</v>
      </c>
      <c r="G721" s="737">
        <v>254723</v>
      </c>
      <c r="H721" s="738" t="s">
        <v>23</v>
      </c>
      <c r="I721" s="751"/>
      <c r="J721" s="752"/>
      <c r="K721" s="752"/>
      <c r="L721" s="752"/>
      <c r="M721" s="752"/>
      <c r="N721" s="753"/>
    </row>
    <row r="722" spans="1:16" s="761" customFormat="1" ht="18" customHeight="1" x14ac:dyDescent="0.3">
      <c r="A722" s="716">
        <v>714</v>
      </c>
      <c r="B722" s="757"/>
      <c r="C722" s="758"/>
      <c r="D722" s="241" t="s">
        <v>245</v>
      </c>
      <c r="E722" s="759"/>
      <c r="F722" s="759"/>
      <c r="G722" s="1366"/>
      <c r="H722" s="760"/>
      <c r="I722" s="739">
        <f>SUM(J722:N722)</f>
        <v>279585</v>
      </c>
      <c r="J722" s="741"/>
      <c r="K722" s="741"/>
      <c r="L722" s="741">
        <v>279585</v>
      </c>
      <c r="M722" s="741"/>
      <c r="N722" s="750"/>
    </row>
    <row r="723" spans="1:16" s="761" customFormat="1" ht="18" customHeight="1" x14ac:dyDescent="0.3">
      <c r="A723" s="716">
        <v>715</v>
      </c>
      <c r="B723" s="757"/>
      <c r="C723" s="758"/>
      <c r="D723" s="377" t="s">
        <v>810</v>
      </c>
      <c r="E723" s="759"/>
      <c r="F723" s="759"/>
      <c r="G723" s="1366"/>
      <c r="H723" s="760"/>
      <c r="I723" s="1446">
        <f>SUM(J723:N723)</f>
        <v>279585</v>
      </c>
      <c r="J723" s="1099"/>
      <c r="K723" s="1099"/>
      <c r="L723" s="1099">
        <v>279585</v>
      </c>
      <c r="M723" s="741"/>
      <c r="N723" s="750"/>
    </row>
    <row r="724" spans="1:16" s="761" customFormat="1" ht="18" customHeight="1" x14ac:dyDescent="0.3">
      <c r="A724" s="716">
        <v>716</v>
      </c>
      <c r="B724" s="757"/>
      <c r="C724" s="758"/>
      <c r="D724" s="910" t="s">
        <v>652</v>
      </c>
      <c r="E724" s="759"/>
      <c r="F724" s="759"/>
      <c r="G724" s="1366"/>
      <c r="H724" s="760"/>
      <c r="I724" s="296">
        <f>SUM(J724:Q724)</f>
        <v>0</v>
      </c>
      <c r="J724" s="1105"/>
      <c r="K724" s="1105"/>
      <c r="L724" s="1105"/>
      <c r="M724" s="1105"/>
      <c r="N724" s="1115"/>
    </row>
    <row r="725" spans="1:16" s="761" customFormat="1" ht="18" customHeight="1" x14ac:dyDescent="0.3">
      <c r="A725" s="716">
        <v>717</v>
      </c>
      <c r="B725" s="757"/>
      <c r="C725" s="758"/>
      <c r="D725" s="377" t="s">
        <v>858</v>
      </c>
      <c r="E725" s="759"/>
      <c r="F725" s="759"/>
      <c r="G725" s="1366"/>
      <c r="H725" s="760"/>
      <c r="I725" s="443">
        <f>SUM(J725:Q725)</f>
        <v>279585</v>
      </c>
      <c r="J725" s="741"/>
      <c r="K725" s="741"/>
      <c r="L725" s="1099">
        <f>SUM(L723:L724)</f>
        <v>279585</v>
      </c>
      <c r="M725" s="741"/>
      <c r="N725" s="750"/>
    </row>
    <row r="726" spans="1:16" s="733" customFormat="1" ht="22.5" customHeight="1" x14ac:dyDescent="0.3">
      <c r="A726" s="716">
        <v>718</v>
      </c>
      <c r="B726" s="744"/>
      <c r="C726" s="745">
        <v>118</v>
      </c>
      <c r="D726" s="746" t="s">
        <v>86</v>
      </c>
      <c r="E726" s="736">
        <f>E731+E736+E741+E746+E751</f>
        <v>2765</v>
      </c>
      <c r="F726" s="736">
        <f>F731+F736+F741+F746+F751</f>
        <v>2765</v>
      </c>
      <c r="G726" s="736">
        <f>G731+G736+G741+G746+G751</f>
        <v>2765</v>
      </c>
      <c r="H726" s="738" t="s">
        <v>23</v>
      </c>
      <c r="I726" s="751"/>
      <c r="J726" s="752"/>
      <c r="K726" s="752"/>
      <c r="L726" s="752"/>
      <c r="M726" s="752"/>
      <c r="N726" s="753"/>
      <c r="O726" s="743"/>
      <c r="P726" s="743"/>
    </row>
    <row r="727" spans="1:16" s="761" customFormat="1" ht="18" customHeight="1" x14ac:dyDescent="0.3">
      <c r="A727" s="716">
        <v>719</v>
      </c>
      <c r="B727" s="757"/>
      <c r="C727" s="758"/>
      <c r="D727" s="241" t="s">
        <v>245</v>
      </c>
      <c r="E727" s="759"/>
      <c r="F727" s="759"/>
      <c r="G727" s="1366"/>
      <c r="H727" s="760"/>
      <c r="I727" s="739">
        <f>SUM(J727:N727)</f>
        <v>2765</v>
      </c>
      <c r="J727" s="776"/>
      <c r="K727" s="776"/>
      <c r="L727" s="776"/>
      <c r="M727" s="776"/>
      <c r="N727" s="750">
        <f>N732+N737+N742+N747+N752</f>
        <v>2765</v>
      </c>
    </row>
    <row r="728" spans="1:16" s="761" customFormat="1" ht="18" customHeight="1" x14ac:dyDescent="0.3">
      <c r="A728" s="716">
        <v>720</v>
      </c>
      <c r="B728" s="757"/>
      <c r="C728" s="758"/>
      <c r="D728" s="377" t="s">
        <v>810</v>
      </c>
      <c r="E728" s="759"/>
      <c r="F728" s="759"/>
      <c r="G728" s="1366"/>
      <c r="H728" s="760"/>
      <c r="I728" s="1446">
        <f>SUM(J728:N728)</f>
        <v>2765</v>
      </c>
      <c r="J728" s="1106"/>
      <c r="K728" s="1106"/>
      <c r="L728" s="1106"/>
      <c r="M728" s="1106"/>
      <c r="N728" s="1104">
        <f>N733+N738+N743+N748+N753</f>
        <v>2765</v>
      </c>
    </row>
    <row r="729" spans="1:16" s="761" customFormat="1" ht="18" customHeight="1" x14ac:dyDescent="0.3">
      <c r="A729" s="716">
        <v>721</v>
      </c>
      <c r="B729" s="757"/>
      <c r="C729" s="758"/>
      <c r="D729" s="910" t="s">
        <v>652</v>
      </c>
      <c r="E729" s="759"/>
      <c r="F729" s="759"/>
      <c r="G729" s="1366"/>
      <c r="H729" s="760"/>
      <c r="I729" s="296">
        <f>SUM(J729:Q729)</f>
        <v>0</v>
      </c>
      <c r="J729" s="776"/>
      <c r="K729" s="776"/>
      <c r="L729" s="776"/>
      <c r="M729" s="776"/>
      <c r="N729" s="1115">
        <f>N734+N739+N744+N749+N754</f>
        <v>0</v>
      </c>
    </row>
    <row r="730" spans="1:16" s="761" customFormat="1" ht="18" customHeight="1" x14ac:dyDescent="0.3">
      <c r="A730" s="716">
        <v>722</v>
      </c>
      <c r="B730" s="757"/>
      <c r="C730" s="758"/>
      <c r="D730" s="377" t="s">
        <v>858</v>
      </c>
      <c r="E730" s="759"/>
      <c r="F730" s="759"/>
      <c r="G730" s="1366"/>
      <c r="H730" s="760"/>
      <c r="I730" s="443">
        <f>SUM(J730:Q730)</f>
        <v>2765</v>
      </c>
      <c r="J730" s="776"/>
      <c r="K730" s="776"/>
      <c r="L730" s="776"/>
      <c r="M730" s="776"/>
      <c r="N730" s="1104">
        <f>SUM(N728:N729)</f>
        <v>2765</v>
      </c>
    </row>
    <row r="731" spans="1:16" s="768" customFormat="1" ht="18" customHeight="1" x14ac:dyDescent="0.3">
      <c r="A731" s="716">
        <v>723</v>
      </c>
      <c r="B731" s="762"/>
      <c r="C731" s="735"/>
      <c r="D731" s="773" t="s">
        <v>87</v>
      </c>
      <c r="E731" s="736">
        <v>553</v>
      </c>
      <c r="F731" s="736">
        <v>553</v>
      </c>
      <c r="G731" s="737">
        <v>553</v>
      </c>
      <c r="H731" s="764"/>
      <c r="I731" s="765"/>
      <c r="J731" s="766"/>
      <c r="K731" s="766"/>
      <c r="L731" s="766"/>
      <c r="M731" s="766"/>
      <c r="N731" s="767"/>
      <c r="P731" s="743"/>
    </row>
    <row r="732" spans="1:16" s="777" customFormat="1" ht="18" customHeight="1" x14ac:dyDescent="0.3">
      <c r="A732" s="716">
        <v>724</v>
      </c>
      <c r="B732" s="775"/>
      <c r="C732" s="758"/>
      <c r="D732" s="806" t="s">
        <v>245</v>
      </c>
      <c r="E732" s="759"/>
      <c r="F732" s="759"/>
      <c r="G732" s="1366"/>
      <c r="H732" s="778"/>
      <c r="I732" s="765">
        <f>SUM(J732:N732)</f>
        <v>553</v>
      </c>
      <c r="J732" s="776"/>
      <c r="K732" s="776"/>
      <c r="L732" s="776"/>
      <c r="M732" s="776"/>
      <c r="N732" s="796">
        <v>553</v>
      </c>
      <c r="P732" s="761"/>
    </row>
    <row r="733" spans="1:16" s="777" customFormat="1" ht="18" customHeight="1" x14ac:dyDescent="0.3">
      <c r="A733" s="716">
        <v>725</v>
      </c>
      <c r="B733" s="775"/>
      <c r="C733" s="758"/>
      <c r="D733" s="792" t="s">
        <v>810</v>
      </c>
      <c r="E733" s="759"/>
      <c r="F733" s="759"/>
      <c r="G733" s="1366"/>
      <c r="H733" s="778"/>
      <c r="I733" s="1452">
        <f>SUM(J733:N733)</f>
        <v>553</v>
      </c>
      <c r="J733" s="1106"/>
      <c r="K733" s="1106"/>
      <c r="L733" s="1106"/>
      <c r="M733" s="1106"/>
      <c r="N733" s="1107">
        <v>553</v>
      </c>
      <c r="P733" s="761"/>
    </row>
    <row r="734" spans="1:16" s="777" customFormat="1" ht="18" customHeight="1" x14ac:dyDescent="0.3">
      <c r="A734" s="716">
        <v>726</v>
      </c>
      <c r="B734" s="775"/>
      <c r="C734" s="758"/>
      <c r="D734" s="792" t="s">
        <v>652</v>
      </c>
      <c r="E734" s="759"/>
      <c r="F734" s="759"/>
      <c r="G734" s="1366"/>
      <c r="H734" s="778"/>
      <c r="I734" s="299">
        <f>SUM(J734:Q734)</f>
        <v>0</v>
      </c>
      <c r="J734" s="776"/>
      <c r="K734" s="776"/>
      <c r="L734" s="776"/>
      <c r="M734" s="776"/>
      <c r="N734" s="796"/>
      <c r="P734" s="761"/>
    </row>
    <row r="735" spans="1:16" s="777" customFormat="1" ht="18" customHeight="1" x14ac:dyDescent="0.3">
      <c r="A735" s="716">
        <v>727</v>
      </c>
      <c r="B735" s="775"/>
      <c r="C735" s="758"/>
      <c r="D735" s="792" t="s">
        <v>858</v>
      </c>
      <c r="E735" s="759"/>
      <c r="F735" s="759"/>
      <c r="G735" s="1366"/>
      <c r="H735" s="778"/>
      <c r="I735" s="1123">
        <f>SUM(J735:Q735)</f>
        <v>553</v>
      </c>
      <c r="J735" s="776"/>
      <c r="K735" s="776"/>
      <c r="L735" s="776"/>
      <c r="M735" s="776"/>
      <c r="N735" s="1107">
        <f>SUM(N733:N734)</f>
        <v>553</v>
      </c>
      <c r="P735" s="761"/>
    </row>
    <row r="736" spans="1:16" s="768" customFormat="1" ht="18" customHeight="1" x14ac:dyDescent="0.3">
      <c r="A736" s="716">
        <v>728</v>
      </c>
      <c r="B736" s="762"/>
      <c r="C736" s="735"/>
      <c r="D736" s="807" t="s">
        <v>88</v>
      </c>
      <c r="E736" s="736">
        <v>553</v>
      </c>
      <c r="F736" s="736">
        <v>553</v>
      </c>
      <c r="G736" s="737">
        <v>553</v>
      </c>
      <c r="H736" s="764"/>
      <c r="I736" s="770"/>
      <c r="J736" s="771"/>
      <c r="K736" s="771"/>
      <c r="L736" s="771"/>
      <c r="M736" s="771"/>
      <c r="N736" s="772"/>
      <c r="P736" s="743"/>
    </row>
    <row r="737" spans="1:16" s="777" customFormat="1" ht="18" customHeight="1" x14ac:dyDescent="0.3">
      <c r="A737" s="716">
        <v>729</v>
      </c>
      <c r="B737" s="775"/>
      <c r="C737" s="758"/>
      <c r="D737" s="806" t="s">
        <v>245</v>
      </c>
      <c r="E737" s="759"/>
      <c r="F737" s="759"/>
      <c r="G737" s="1366"/>
      <c r="H737" s="778"/>
      <c r="I737" s="765">
        <f>SUM(J737:N737)</f>
        <v>553</v>
      </c>
      <c r="J737" s="776"/>
      <c r="K737" s="776"/>
      <c r="L737" s="776"/>
      <c r="M737" s="776"/>
      <c r="N737" s="796">
        <v>553</v>
      </c>
      <c r="P737" s="761"/>
    </row>
    <row r="738" spans="1:16" s="777" customFormat="1" ht="18" customHeight="1" x14ac:dyDescent="0.3">
      <c r="A738" s="716">
        <v>730</v>
      </c>
      <c r="B738" s="775"/>
      <c r="C738" s="758"/>
      <c r="D738" s="792" t="s">
        <v>810</v>
      </c>
      <c r="E738" s="759"/>
      <c r="F738" s="759"/>
      <c r="G738" s="1366"/>
      <c r="H738" s="778"/>
      <c r="I738" s="1452">
        <f>SUM(J738:N738)</f>
        <v>553</v>
      </c>
      <c r="J738" s="1106"/>
      <c r="K738" s="1106"/>
      <c r="L738" s="1106"/>
      <c r="M738" s="1106"/>
      <c r="N738" s="1107">
        <v>553</v>
      </c>
      <c r="P738" s="761"/>
    </row>
    <row r="739" spans="1:16" s="777" customFormat="1" ht="18" customHeight="1" x14ac:dyDescent="0.3">
      <c r="A739" s="716">
        <v>731</v>
      </c>
      <c r="B739" s="775"/>
      <c r="C739" s="758"/>
      <c r="D739" s="792" t="s">
        <v>652</v>
      </c>
      <c r="E739" s="759"/>
      <c r="F739" s="759"/>
      <c r="G739" s="1366"/>
      <c r="H739" s="778"/>
      <c r="I739" s="299">
        <f>SUM(J739:Q739)</f>
        <v>0</v>
      </c>
      <c r="J739" s="776"/>
      <c r="K739" s="776"/>
      <c r="L739" s="776"/>
      <c r="M739" s="776"/>
      <c r="N739" s="796"/>
      <c r="P739" s="761"/>
    </row>
    <row r="740" spans="1:16" s="777" customFormat="1" ht="18" customHeight="1" x14ac:dyDescent="0.3">
      <c r="A740" s="716">
        <v>732</v>
      </c>
      <c r="B740" s="775"/>
      <c r="C740" s="758"/>
      <c r="D740" s="792" t="s">
        <v>858</v>
      </c>
      <c r="E740" s="759"/>
      <c r="F740" s="759"/>
      <c r="G740" s="1366"/>
      <c r="H740" s="778"/>
      <c r="I740" s="1123">
        <f>SUM(J740:Q740)</f>
        <v>553</v>
      </c>
      <c r="J740" s="776"/>
      <c r="K740" s="776"/>
      <c r="L740" s="776"/>
      <c r="M740" s="776"/>
      <c r="N740" s="1107">
        <f>SUM(N738:N739)</f>
        <v>553</v>
      </c>
      <c r="P740" s="761"/>
    </row>
    <row r="741" spans="1:16" s="768" customFormat="1" ht="18" customHeight="1" x14ac:dyDescent="0.3">
      <c r="A741" s="716">
        <v>733</v>
      </c>
      <c r="B741" s="762"/>
      <c r="C741" s="735"/>
      <c r="D741" s="807" t="s">
        <v>89</v>
      </c>
      <c r="E741" s="736">
        <v>553</v>
      </c>
      <c r="F741" s="736">
        <v>553</v>
      </c>
      <c r="G741" s="737">
        <v>553</v>
      </c>
      <c r="H741" s="764"/>
      <c r="I741" s="770"/>
      <c r="J741" s="771"/>
      <c r="K741" s="771"/>
      <c r="L741" s="771"/>
      <c r="M741" s="771"/>
      <c r="N741" s="772"/>
      <c r="P741" s="743"/>
    </row>
    <row r="742" spans="1:16" s="777" customFormat="1" ht="18" customHeight="1" x14ac:dyDescent="0.3">
      <c r="A742" s="716">
        <v>734</v>
      </c>
      <c r="B742" s="775"/>
      <c r="C742" s="758"/>
      <c r="D742" s="806" t="s">
        <v>245</v>
      </c>
      <c r="E742" s="759"/>
      <c r="F742" s="759"/>
      <c r="G742" s="1366"/>
      <c r="H742" s="778"/>
      <c r="I742" s="765">
        <f>SUM(J742:N742)</f>
        <v>553</v>
      </c>
      <c r="J742" s="776"/>
      <c r="K742" s="776"/>
      <c r="L742" s="776"/>
      <c r="M742" s="776"/>
      <c r="N742" s="796">
        <v>553</v>
      </c>
      <c r="P742" s="761"/>
    </row>
    <row r="743" spans="1:16" s="777" customFormat="1" ht="18" customHeight="1" x14ac:dyDescent="0.3">
      <c r="A743" s="716">
        <v>735</v>
      </c>
      <c r="B743" s="775"/>
      <c r="C743" s="758"/>
      <c r="D743" s="792" t="s">
        <v>810</v>
      </c>
      <c r="E743" s="759"/>
      <c r="F743" s="759"/>
      <c r="G743" s="1366"/>
      <c r="H743" s="778"/>
      <c r="I743" s="1452">
        <f>SUM(J743:N743)</f>
        <v>553</v>
      </c>
      <c r="J743" s="1106"/>
      <c r="K743" s="1106"/>
      <c r="L743" s="1106"/>
      <c r="M743" s="1106"/>
      <c r="N743" s="1107">
        <v>553</v>
      </c>
      <c r="P743" s="761"/>
    </row>
    <row r="744" spans="1:16" s="777" customFormat="1" ht="18" customHeight="1" x14ac:dyDescent="0.3">
      <c r="A744" s="716">
        <v>736</v>
      </c>
      <c r="B744" s="775"/>
      <c r="C744" s="758"/>
      <c r="D744" s="792" t="s">
        <v>652</v>
      </c>
      <c r="E744" s="759"/>
      <c r="F744" s="759"/>
      <c r="G744" s="1366"/>
      <c r="H744" s="778"/>
      <c r="I744" s="299">
        <f>SUM(J744:Q744)</f>
        <v>0</v>
      </c>
      <c r="J744" s="776"/>
      <c r="K744" s="776"/>
      <c r="L744" s="776"/>
      <c r="M744" s="776"/>
      <c r="N744" s="796"/>
      <c r="P744" s="761"/>
    </row>
    <row r="745" spans="1:16" s="777" customFormat="1" ht="18" customHeight="1" x14ac:dyDescent="0.3">
      <c r="A745" s="716">
        <v>737</v>
      </c>
      <c r="B745" s="775"/>
      <c r="C745" s="758"/>
      <c r="D745" s="792" t="s">
        <v>858</v>
      </c>
      <c r="E745" s="759"/>
      <c r="F745" s="759"/>
      <c r="G745" s="1366"/>
      <c r="H745" s="778"/>
      <c r="I745" s="1123">
        <f>SUM(J745:Q745)</f>
        <v>553</v>
      </c>
      <c r="J745" s="776"/>
      <c r="K745" s="776"/>
      <c r="L745" s="776"/>
      <c r="M745" s="776"/>
      <c r="N745" s="1107">
        <f>SUM(N743:N744)</f>
        <v>553</v>
      </c>
      <c r="P745" s="761"/>
    </row>
    <row r="746" spans="1:16" s="768" customFormat="1" ht="18" customHeight="1" x14ac:dyDescent="0.3">
      <c r="A746" s="716">
        <v>738</v>
      </c>
      <c r="B746" s="762"/>
      <c r="C746" s="735"/>
      <c r="D746" s="807" t="s">
        <v>90</v>
      </c>
      <c r="E746" s="736">
        <v>553</v>
      </c>
      <c r="F746" s="736">
        <v>553</v>
      </c>
      <c r="G746" s="737">
        <v>553</v>
      </c>
      <c r="H746" s="764"/>
      <c r="I746" s="770"/>
      <c r="J746" s="771"/>
      <c r="K746" s="771"/>
      <c r="L746" s="771"/>
      <c r="M746" s="771"/>
      <c r="N746" s="772"/>
      <c r="P746" s="743"/>
    </row>
    <row r="747" spans="1:16" s="777" customFormat="1" ht="18" customHeight="1" x14ac:dyDescent="0.3">
      <c r="A747" s="716">
        <v>739</v>
      </c>
      <c r="B747" s="775"/>
      <c r="C747" s="758"/>
      <c r="D747" s="806" t="s">
        <v>245</v>
      </c>
      <c r="E747" s="759"/>
      <c r="F747" s="759"/>
      <c r="G747" s="1366"/>
      <c r="H747" s="778"/>
      <c r="I747" s="765">
        <f>SUM(J747:N747)</f>
        <v>553</v>
      </c>
      <c r="J747" s="776"/>
      <c r="K747" s="776"/>
      <c r="L747" s="776"/>
      <c r="M747" s="776"/>
      <c r="N747" s="796">
        <v>553</v>
      </c>
      <c r="P747" s="761"/>
    </row>
    <row r="748" spans="1:16" s="777" customFormat="1" ht="18" customHeight="1" x14ac:dyDescent="0.3">
      <c r="A748" s="716">
        <v>740</v>
      </c>
      <c r="B748" s="775"/>
      <c r="C748" s="758"/>
      <c r="D748" s="792" t="s">
        <v>810</v>
      </c>
      <c r="E748" s="759"/>
      <c r="F748" s="759"/>
      <c r="G748" s="1366"/>
      <c r="H748" s="778"/>
      <c r="I748" s="1452">
        <f>SUM(J748:N748)</f>
        <v>553</v>
      </c>
      <c r="J748" s="1106"/>
      <c r="K748" s="1106"/>
      <c r="L748" s="1106"/>
      <c r="M748" s="1106"/>
      <c r="N748" s="1107">
        <v>553</v>
      </c>
      <c r="P748" s="761"/>
    </row>
    <row r="749" spans="1:16" s="777" customFormat="1" ht="18" customHeight="1" x14ac:dyDescent="0.3">
      <c r="A749" s="716">
        <v>741</v>
      </c>
      <c r="B749" s="775"/>
      <c r="C749" s="758"/>
      <c r="D749" s="792" t="s">
        <v>652</v>
      </c>
      <c r="E749" s="759"/>
      <c r="F749" s="759"/>
      <c r="G749" s="1366"/>
      <c r="H749" s="778"/>
      <c r="I749" s="299">
        <f>SUM(J749:Q749)</f>
        <v>0</v>
      </c>
      <c r="J749" s="776"/>
      <c r="K749" s="776"/>
      <c r="L749" s="776"/>
      <c r="M749" s="776"/>
      <c r="N749" s="796"/>
      <c r="P749" s="761"/>
    </row>
    <row r="750" spans="1:16" s="777" customFormat="1" ht="18" customHeight="1" x14ac:dyDescent="0.3">
      <c r="A750" s="716">
        <v>742</v>
      </c>
      <c r="B750" s="775"/>
      <c r="C750" s="758"/>
      <c r="D750" s="792" t="s">
        <v>858</v>
      </c>
      <c r="E750" s="759"/>
      <c r="F750" s="759"/>
      <c r="G750" s="1366"/>
      <c r="H750" s="778"/>
      <c r="I750" s="1123">
        <f>SUM(J750:Q750)</f>
        <v>553</v>
      </c>
      <c r="J750" s="776"/>
      <c r="K750" s="776"/>
      <c r="L750" s="776"/>
      <c r="M750" s="776"/>
      <c r="N750" s="1107">
        <f>SUM(N748:N749)</f>
        <v>553</v>
      </c>
      <c r="P750" s="761"/>
    </row>
    <row r="751" spans="1:16" s="768" customFormat="1" ht="18" customHeight="1" x14ac:dyDescent="0.3">
      <c r="A751" s="716">
        <v>743</v>
      </c>
      <c r="B751" s="762"/>
      <c r="C751" s="735"/>
      <c r="D751" s="807" t="s">
        <v>91</v>
      </c>
      <c r="E751" s="736">
        <v>553</v>
      </c>
      <c r="F751" s="736">
        <v>553</v>
      </c>
      <c r="G751" s="737">
        <v>553</v>
      </c>
      <c r="H751" s="764"/>
      <c r="I751" s="770"/>
      <c r="J751" s="771"/>
      <c r="K751" s="771"/>
      <c r="L751" s="771"/>
      <c r="M751" s="771"/>
      <c r="N751" s="772"/>
      <c r="P751" s="743"/>
    </row>
    <row r="752" spans="1:16" s="777" customFormat="1" ht="18" customHeight="1" x14ac:dyDescent="0.3">
      <c r="A752" s="716">
        <v>744</v>
      </c>
      <c r="B752" s="775"/>
      <c r="C752" s="758"/>
      <c r="D752" s="806" t="s">
        <v>245</v>
      </c>
      <c r="E752" s="759"/>
      <c r="F752" s="759"/>
      <c r="G752" s="1366"/>
      <c r="H752" s="778"/>
      <c r="I752" s="765">
        <f>SUM(J752:N752)</f>
        <v>553</v>
      </c>
      <c r="J752" s="776"/>
      <c r="K752" s="776"/>
      <c r="L752" s="776"/>
      <c r="M752" s="776"/>
      <c r="N752" s="796">
        <v>553</v>
      </c>
      <c r="P752" s="761"/>
    </row>
    <row r="753" spans="1:16" s="777" customFormat="1" ht="18" customHeight="1" x14ac:dyDescent="0.3">
      <c r="A753" s="716">
        <v>745</v>
      </c>
      <c r="B753" s="775"/>
      <c r="C753" s="758"/>
      <c r="D753" s="792" t="s">
        <v>810</v>
      </c>
      <c r="E753" s="1121"/>
      <c r="F753" s="759"/>
      <c r="G753" s="809"/>
      <c r="H753" s="1122"/>
      <c r="I753" s="1452">
        <f>SUM(J753:N753)</f>
        <v>553</v>
      </c>
      <c r="J753" s="1106"/>
      <c r="K753" s="1106"/>
      <c r="L753" s="1106"/>
      <c r="M753" s="1106"/>
      <c r="N753" s="1124">
        <v>553</v>
      </c>
      <c r="P753" s="761"/>
    </row>
    <row r="754" spans="1:16" s="777" customFormat="1" ht="18" customHeight="1" x14ac:dyDescent="0.3">
      <c r="A754" s="716">
        <v>746</v>
      </c>
      <c r="B754" s="775"/>
      <c r="C754" s="758"/>
      <c r="D754" s="792" t="s">
        <v>652</v>
      </c>
      <c r="E754" s="1121"/>
      <c r="F754" s="759"/>
      <c r="G754" s="809"/>
      <c r="H754" s="1122"/>
      <c r="I754" s="299">
        <f>SUM(J754:Q754)</f>
        <v>0</v>
      </c>
      <c r="J754" s="776"/>
      <c r="K754" s="776"/>
      <c r="L754" s="776"/>
      <c r="M754" s="776"/>
      <c r="N754" s="810"/>
      <c r="P754" s="761"/>
    </row>
    <row r="755" spans="1:16" s="777" customFormat="1" ht="18" customHeight="1" x14ac:dyDescent="0.3">
      <c r="A755" s="716">
        <v>747</v>
      </c>
      <c r="B755" s="775"/>
      <c r="C755" s="758"/>
      <c r="D755" s="792" t="s">
        <v>858</v>
      </c>
      <c r="E755" s="1121"/>
      <c r="F755" s="759"/>
      <c r="G755" s="809"/>
      <c r="H755" s="1122"/>
      <c r="I755" s="1123">
        <f>SUM(J755:Q755)</f>
        <v>553</v>
      </c>
      <c r="J755" s="776"/>
      <c r="K755" s="776"/>
      <c r="L755" s="776"/>
      <c r="M755" s="776"/>
      <c r="N755" s="1124">
        <f>SUM(N753:N754)</f>
        <v>553</v>
      </c>
      <c r="P755" s="761"/>
    </row>
    <row r="756" spans="1:16" s="768" customFormat="1" ht="23.45" customHeight="1" x14ac:dyDescent="0.3">
      <c r="A756" s="716">
        <v>748</v>
      </c>
      <c r="B756" s="762"/>
      <c r="C756" s="745">
        <v>121</v>
      </c>
      <c r="D756" s="746" t="s">
        <v>445</v>
      </c>
      <c r="E756" s="808"/>
      <c r="F756" s="736">
        <v>3071</v>
      </c>
      <c r="G756" s="1369"/>
      <c r="H756" s="729" t="s">
        <v>24</v>
      </c>
      <c r="I756" s="809"/>
      <c r="J756" s="766"/>
      <c r="K756" s="766"/>
      <c r="L756" s="741"/>
      <c r="M756" s="766"/>
      <c r="N756" s="810"/>
      <c r="P756" s="743"/>
    </row>
    <row r="757" spans="1:16" s="768" customFormat="1" ht="18" customHeight="1" x14ac:dyDescent="0.3">
      <c r="A757" s="716">
        <v>749</v>
      </c>
      <c r="B757" s="762"/>
      <c r="C757" s="745"/>
      <c r="D757" s="241" t="s">
        <v>245</v>
      </c>
      <c r="E757" s="808"/>
      <c r="F757" s="736"/>
      <c r="G757" s="1369"/>
      <c r="H757" s="738"/>
      <c r="I757" s="739">
        <f>SUM(J757:N757)</f>
        <v>3071</v>
      </c>
      <c r="J757" s="766"/>
      <c r="K757" s="766"/>
      <c r="L757" s="741">
        <f>400+2671</f>
        <v>3071</v>
      </c>
      <c r="M757" s="766"/>
      <c r="N757" s="810"/>
      <c r="P757" s="743"/>
    </row>
    <row r="758" spans="1:16" s="768" customFormat="1" ht="18" customHeight="1" x14ac:dyDescent="0.3">
      <c r="A758" s="716">
        <v>750</v>
      </c>
      <c r="B758" s="830"/>
      <c r="C758" s="745"/>
      <c r="D758" s="377" t="s">
        <v>810</v>
      </c>
      <c r="E758" s="1125"/>
      <c r="F758" s="728"/>
      <c r="G758" s="1369"/>
      <c r="H758" s="1126"/>
      <c r="I758" s="1445">
        <f>SUM(J758:N758)</f>
        <v>3071</v>
      </c>
      <c r="J758" s="1101"/>
      <c r="K758" s="1101"/>
      <c r="L758" s="1098">
        <v>3071</v>
      </c>
      <c r="M758" s="831"/>
      <c r="N758" s="1127"/>
      <c r="P758" s="743"/>
    </row>
    <row r="759" spans="1:16" s="768" customFormat="1" ht="18" customHeight="1" x14ac:dyDescent="0.3">
      <c r="A759" s="716">
        <v>751</v>
      </c>
      <c r="B759" s="830"/>
      <c r="C759" s="745"/>
      <c r="D759" s="910" t="s">
        <v>652</v>
      </c>
      <c r="E759" s="1125"/>
      <c r="F759" s="728"/>
      <c r="G759" s="1370"/>
      <c r="H759" s="1126"/>
      <c r="I759" s="299">
        <f>SUM(J759:Q759)</f>
        <v>0</v>
      </c>
      <c r="J759" s="1101"/>
      <c r="K759" s="1101"/>
      <c r="L759" s="1102"/>
      <c r="M759" s="1101"/>
      <c r="N759" s="1133"/>
      <c r="P759" s="743"/>
    </row>
    <row r="760" spans="1:16" s="768" customFormat="1" ht="18" customHeight="1" x14ac:dyDescent="0.3">
      <c r="A760" s="716">
        <v>752</v>
      </c>
      <c r="B760" s="830"/>
      <c r="C760" s="745"/>
      <c r="D760" s="377" t="s">
        <v>858</v>
      </c>
      <c r="E760" s="1125"/>
      <c r="F760" s="728"/>
      <c r="G760" s="1371"/>
      <c r="H760" s="1126"/>
      <c r="I760" s="443">
        <f>SUM(J760:Q760)</f>
        <v>3071</v>
      </c>
      <c r="J760" s="831"/>
      <c r="K760" s="831"/>
      <c r="L760" s="1098">
        <f>SUM(L758:L759)</f>
        <v>3071</v>
      </c>
      <c r="M760" s="831"/>
      <c r="N760" s="1127"/>
      <c r="P760" s="743"/>
    </row>
    <row r="761" spans="1:16" s="733" customFormat="1" ht="23.45" customHeight="1" x14ac:dyDescent="0.3">
      <c r="A761" s="716">
        <v>753</v>
      </c>
      <c r="B761" s="781"/>
      <c r="C761" s="745">
        <v>123</v>
      </c>
      <c r="D761" s="727" t="s">
        <v>722</v>
      </c>
      <c r="E761" s="728">
        <v>7950</v>
      </c>
      <c r="F761" s="728">
        <v>4752</v>
      </c>
      <c r="G761" s="1364">
        <v>146</v>
      </c>
      <c r="H761" s="729" t="s">
        <v>24</v>
      </c>
      <c r="I761" s="739"/>
      <c r="J761" s="748"/>
      <c r="K761" s="748"/>
      <c r="L761" s="748"/>
      <c r="M761" s="748"/>
      <c r="N761" s="749"/>
      <c r="O761" s="743"/>
      <c r="P761" s="743"/>
    </row>
    <row r="762" spans="1:16" s="813" customFormat="1" ht="18" customHeight="1" x14ac:dyDescent="0.35">
      <c r="A762" s="716">
        <v>754</v>
      </c>
      <c r="B762" s="797"/>
      <c r="C762" s="812"/>
      <c r="D762" s="241" t="s">
        <v>245</v>
      </c>
      <c r="E762" s="728"/>
      <c r="F762" s="728"/>
      <c r="G762" s="1364"/>
      <c r="H762" s="795"/>
      <c r="I762" s="739">
        <f>SUM(J762:N762)</f>
        <v>4755</v>
      </c>
      <c r="J762" s="799"/>
      <c r="K762" s="799"/>
      <c r="L762" s="799">
        <v>4755</v>
      </c>
      <c r="M762" s="799"/>
      <c r="N762" s="782"/>
      <c r="O762" s="761"/>
      <c r="P762" s="761"/>
    </row>
    <row r="763" spans="1:16" s="813" customFormat="1" ht="18" customHeight="1" x14ac:dyDescent="0.35">
      <c r="A763" s="716">
        <v>755</v>
      </c>
      <c r="B763" s="797"/>
      <c r="C763" s="812"/>
      <c r="D763" s="377" t="s">
        <v>810</v>
      </c>
      <c r="E763" s="728"/>
      <c r="F763" s="728"/>
      <c r="G763" s="1364"/>
      <c r="H763" s="795"/>
      <c r="I763" s="1446">
        <f>SUM(J763:N763)</f>
        <v>4755</v>
      </c>
      <c r="J763" s="1098"/>
      <c r="K763" s="1098"/>
      <c r="L763" s="1098">
        <v>4755</v>
      </c>
      <c r="M763" s="799"/>
      <c r="N763" s="782"/>
      <c r="O763" s="761"/>
      <c r="P763" s="761"/>
    </row>
    <row r="764" spans="1:16" s="813" customFormat="1" ht="18" customHeight="1" x14ac:dyDescent="0.35">
      <c r="A764" s="716">
        <v>756</v>
      </c>
      <c r="B764" s="797"/>
      <c r="C764" s="812"/>
      <c r="D764" s="910" t="s">
        <v>652</v>
      </c>
      <c r="E764" s="728"/>
      <c r="F764" s="728"/>
      <c r="G764" s="1364"/>
      <c r="H764" s="795"/>
      <c r="I764" s="299">
        <f>SUM(J764:Q764)</f>
        <v>0</v>
      </c>
      <c r="J764" s="1101"/>
      <c r="K764" s="1101"/>
      <c r="L764" s="1101"/>
      <c r="M764" s="1101"/>
      <c r="N764" s="1119"/>
      <c r="O764" s="761"/>
      <c r="P764" s="761"/>
    </row>
    <row r="765" spans="1:16" s="813" customFormat="1" ht="18" customHeight="1" x14ac:dyDescent="0.35">
      <c r="A765" s="716">
        <v>757</v>
      </c>
      <c r="B765" s="797"/>
      <c r="C765" s="812"/>
      <c r="D765" s="377" t="s">
        <v>858</v>
      </c>
      <c r="E765" s="728"/>
      <c r="F765" s="728"/>
      <c r="G765" s="1364"/>
      <c r="H765" s="795"/>
      <c r="I765" s="443">
        <f>SUM(J765:Q765)</f>
        <v>4755</v>
      </c>
      <c r="J765" s="799"/>
      <c r="K765" s="799"/>
      <c r="L765" s="1098">
        <f>SUM(L763:L764)</f>
        <v>4755</v>
      </c>
      <c r="M765" s="799"/>
      <c r="N765" s="782"/>
      <c r="O765" s="761"/>
      <c r="P765" s="761"/>
    </row>
    <row r="766" spans="1:16" s="813" customFormat="1" ht="23.45" customHeight="1" x14ac:dyDescent="0.35">
      <c r="A766" s="716">
        <v>758</v>
      </c>
      <c r="B766" s="797"/>
      <c r="C766" s="745">
        <v>124</v>
      </c>
      <c r="D766" s="727" t="s">
        <v>494</v>
      </c>
      <c r="E766" s="728"/>
      <c r="F766" s="728">
        <v>1700</v>
      </c>
      <c r="G766" s="1364"/>
      <c r="H766" s="729" t="s">
        <v>24</v>
      </c>
      <c r="I766" s="739"/>
      <c r="J766" s="799"/>
      <c r="K766" s="799"/>
      <c r="L766" s="799"/>
      <c r="M766" s="799"/>
      <c r="N766" s="782"/>
      <c r="O766" s="761"/>
      <c r="P766" s="761"/>
    </row>
    <row r="767" spans="1:16" s="813" customFormat="1" ht="18" customHeight="1" x14ac:dyDescent="0.35">
      <c r="A767" s="716">
        <v>759</v>
      </c>
      <c r="B767" s="797"/>
      <c r="C767" s="812"/>
      <c r="D767" s="241" t="s">
        <v>245</v>
      </c>
      <c r="E767" s="798"/>
      <c r="F767" s="798"/>
      <c r="G767" s="1367"/>
      <c r="H767" s="795"/>
      <c r="I767" s="739">
        <f>SUM(J767:N767)</f>
        <v>1700</v>
      </c>
      <c r="J767" s="799"/>
      <c r="K767" s="799"/>
      <c r="L767" s="799">
        <f>500+1200</f>
        <v>1700</v>
      </c>
      <c r="M767" s="799"/>
      <c r="N767" s="782"/>
      <c r="O767" s="761"/>
      <c r="P767" s="761"/>
    </row>
    <row r="768" spans="1:16" s="813" customFormat="1" ht="18" customHeight="1" x14ac:dyDescent="0.35">
      <c r="A768" s="716">
        <v>760</v>
      </c>
      <c r="B768" s="797"/>
      <c r="C768" s="812"/>
      <c r="D768" s="377" t="s">
        <v>810</v>
      </c>
      <c r="E768" s="798"/>
      <c r="F768" s="798"/>
      <c r="G768" s="1367"/>
      <c r="H768" s="795"/>
      <c r="I768" s="1446">
        <f>SUM(J768:N768)</f>
        <v>1700</v>
      </c>
      <c r="J768" s="1098"/>
      <c r="K768" s="1098"/>
      <c r="L768" s="1098">
        <v>1700</v>
      </c>
      <c r="M768" s="799"/>
      <c r="N768" s="782"/>
      <c r="O768" s="761"/>
      <c r="P768" s="761"/>
    </row>
    <row r="769" spans="1:16" s="813" customFormat="1" ht="18" customHeight="1" x14ac:dyDescent="0.35">
      <c r="A769" s="716">
        <v>761</v>
      </c>
      <c r="B769" s="797"/>
      <c r="C769" s="812"/>
      <c r="D769" s="910" t="s">
        <v>652</v>
      </c>
      <c r="E769" s="798"/>
      <c r="F769" s="798"/>
      <c r="G769" s="1367"/>
      <c r="H769" s="795"/>
      <c r="I769" s="299">
        <f>SUM(J769:Q769)</f>
        <v>0</v>
      </c>
      <c r="J769" s="1101"/>
      <c r="K769" s="1101"/>
      <c r="L769" s="1101"/>
      <c r="M769" s="1101"/>
      <c r="N769" s="1119"/>
      <c r="O769" s="761"/>
      <c r="P769" s="761"/>
    </row>
    <row r="770" spans="1:16" s="813" customFormat="1" ht="18" customHeight="1" x14ac:dyDescent="0.35">
      <c r="A770" s="716">
        <v>762</v>
      </c>
      <c r="B770" s="797"/>
      <c r="C770" s="812"/>
      <c r="D770" s="377" t="s">
        <v>858</v>
      </c>
      <c r="E770" s="798"/>
      <c r="F770" s="798"/>
      <c r="G770" s="1367"/>
      <c r="H770" s="795"/>
      <c r="I770" s="443">
        <f>SUM(J770:Q770)</f>
        <v>1700</v>
      </c>
      <c r="J770" s="799"/>
      <c r="K770" s="799"/>
      <c r="L770" s="1098">
        <f>SUM(L768:L769)</f>
        <v>1700</v>
      </c>
      <c r="M770" s="799"/>
      <c r="N770" s="782"/>
      <c r="O770" s="761"/>
      <c r="P770" s="761"/>
    </row>
    <row r="771" spans="1:16" s="813" customFormat="1" ht="23.45" customHeight="1" x14ac:dyDescent="0.35">
      <c r="A771" s="716">
        <v>763</v>
      </c>
      <c r="B771" s="797"/>
      <c r="C771" s="745">
        <v>125</v>
      </c>
      <c r="D771" s="727" t="s">
        <v>509</v>
      </c>
      <c r="E771" s="728">
        <v>296210</v>
      </c>
      <c r="F771" s="728">
        <v>338790</v>
      </c>
      <c r="G771" s="1364">
        <v>338790</v>
      </c>
      <c r="H771" s="729" t="s">
        <v>24</v>
      </c>
      <c r="I771" s="739"/>
      <c r="J771" s="799"/>
      <c r="K771" s="799"/>
      <c r="L771" s="799"/>
      <c r="M771" s="799"/>
      <c r="N771" s="782"/>
      <c r="O771" s="761"/>
      <c r="P771" s="761"/>
    </row>
    <row r="772" spans="1:16" s="761" customFormat="1" ht="30" x14ac:dyDescent="0.3">
      <c r="A772" s="716">
        <v>764</v>
      </c>
      <c r="B772" s="757"/>
      <c r="C772" s="763">
        <v>127</v>
      </c>
      <c r="D772" s="727" t="s">
        <v>375</v>
      </c>
      <c r="E772" s="736">
        <v>997</v>
      </c>
      <c r="F772" s="736">
        <v>1000</v>
      </c>
      <c r="G772" s="737">
        <v>985</v>
      </c>
      <c r="H772" s="738" t="s">
        <v>24</v>
      </c>
      <c r="I772" s="739"/>
      <c r="J772" s="741"/>
      <c r="K772" s="741"/>
      <c r="L772" s="741"/>
      <c r="M772" s="741"/>
      <c r="N772" s="750"/>
    </row>
    <row r="773" spans="1:16" s="761" customFormat="1" ht="18" customHeight="1" x14ac:dyDescent="0.3">
      <c r="A773" s="716">
        <v>765</v>
      </c>
      <c r="B773" s="757"/>
      <c r="C773" s="758"/>
      <c r="D773" s="241" t="s">
        <v>245</v>
      </c>
      <c r="E773" s="736"/>
      <c r="F773" s="736"/>
      <c r="G773" s="737"/>
      <c r="H773" s="738"/>
      <c r="I773" s="739">
        <f>SUM(J773:N773)</f>
        <v>1000</v>
      </c>
      <c r="J773" s="741"/>
      <c r="K773" s="741"/>
      <c r="L773" s="741">
        <v>1000</v>
      </c>
      <c r="M773" s="741"/>
      <c r="N773" s="750"/>
    </row>
    <row r="774" spans="1:16" s="761" customFormat="1" ht="18" customHeight="1" x14ac:dyDescent="0.3">
      <c r="A774" s="716">
        <v>766</v>
      </c>
      <c r="B774" s="757"/>
      <c r="C774" s="758"/>
      <c r="D774" s="377" t="s">
        <v>810</v>
      </c>
      <c r="E774" s="736"/>
      <c r="F774" s="736"/>
      <c r="G774" s="737"/>
      <c r="H774" s="738"/>
      <c r="I774" s="1446">
        <f>SUM(J774:N774)</f>
        <v>1000</v>
      </c>
      <c r="J774" s="1099"/>
      <c r="K774" s="1099"/>
      <c r="L774" s="1099">
        <v>1000</v>
      </c>
      <c r="M774" s="741"/>
      <c r="N774" s="750"/>
    </row>
    <row r="775" spans="1:16" s="761" customFormat="1" ht="18" customHeight="1" x14ac:dyDescent="0.3">
      <c r="A775" s="716">
        <v>767</v>
      </c>
      <c r="B775" s="757"/>
      <c r="C775" s="758"/>
      <c r="D775" s="910" t="s">
        <v>652</v>
      </c>
      <c r="E775" s="736"/>
      <c r="F775" s="736"/>
      <c r="G775" s="737"/>
      <c r="H775" s="738"/>
      <c r="I775" s="299">
        <f>SUM(J775:Q775)</f>
        <v>0</v>
      </c>
      <c r="J775" s="1105"/>
      <c r="K775" s="1105"/>
      <c r="L775" s="1105"/>
      <c r="M775" s="1105"/>
      <c r="N775" s="1115"/>
    </row>
    <row r="776" spans="1:16" s="761" customFormat="1" ht="18" customHeight="1" x14ac:dyDescent="0.3">
      <c r="A776" s="716">
        <v>768</v>
      </c>
      <c r="B776" s="757"/>
      <c r="C776" s="758"/>
      <c r="D776" s="377" t="s">
        <v>858</v>
      </c>
      <c r="E776" s="736"/>
      <c r="F776" s="736"/>
      <c r="G776" s="737"/>
      <c r="H776" s="738"/>
      <c r="I776" s="443">
        <f>SUM(J776:Q776)</f>
        <v>1000</v>
      </c>
      <c r="J776" s="741"/>
      <c r="K776" s="741"/>
      <c r="L776" s="1099">
        <f>SUM(L774:L775)</f>
        <v>1000</v>
      </c>
      <c r="M776" s="741"/>
      <c r="N776" s="750"/>
    </row>
    <row r="777" spans="1:16" s="733" customFormat="1" ht="22.5" customHeight="1" x14ac:dyDescent="0.3">
      <c r="A777" s="716">
        <v>769</v>
      </c>
      <c r="B777" s="734"/>
      <c r="C777" s="745">
        <v>128</v>
      </c>
      <c r="D777" s="746" t="s">
        <v>456</v>
      </c>
      <c r="E777" s="736"/>
      <c r="F777" s="736">
        <v>2010</v>
      </c>
      <c r="G777" s="737"/>
      <c r="H777" s="738" t="s">
        <v>24</v>
      </c>
      <c r="I777" s="751"/>
      <c r="J777" s="752"/>
      <c r="K777" s="752"/>
      <c r="L777" s="752"/>
      <c r="M777" s="752"/>
      <c r="N777" s="753"/>
      <c r="O777" s="743"/>
      <c r="P777" s="743"/>
    </row>
    <row r="778" spans="1:16" s="733" customFormat="1" ht="18" customHeight="1" x14ac:dyDescent="0.3">
      <c r="A778" s="716">
        <v>770</v>
      </c>
      <c r="B778" s="734"/>
      <c r="C778" s="745"/>
      <c r="D778" s="241" t="s">
        <v>245</v>
      </c>
      <c r="E778" s="736"/>
      <c r="F778" s="736"/>
      <c r="G778" s="737"/>
      <c r="H778" s="738"/>
      <c r="I778" s="739">
        <f>SUM(J778:N778)</f>
        <v>2010</v>
      </c>
      <c r="J778" s="752"/>
      <c r="K778" s="752"/>
      <c r="L778" s="754">
        <f>800+1210</f>
        <v>2010</v>
      </c>
      <c r="M778" s="752"/>
      <c r="N778" s="753"/>
      <c r="O778" s="743"/>
      <c r="P778" s="743"/>
    </row>
    <row r="779" spans="1:16" s="733" customFormat="1" ht="18" customHeight="1" x14ac:dyDescent="0.3">
      <c r="A779" s="716">
        <v>771</v>
      </c>
      <c r="B779" s="734"/>
      <c r="C779" s="745"/>
      <c r="D779" s="377" t="s">
        <v>810</v>
      </c>
      <c r="E779" s="736"/>
      <c r="F779" s="736"/>
      <c r="G779" s="1364"/>
      <c r="H779" s="738"/>
      <c r="I779" s="1446">
        <f>SUM(J779:N779)</f>
        <v>2010</v>
      </c>
      <c r="J779" s="1447"/>
      <c r="K779" s="1447"/>
      <c r="L779" s="1100">
        <v>2010</v>
      </c>
      <c r="M779" s="752"/>
      <c r="N779" s="753"/>
      <c r="O779" s="743"/>
      <c r="P779" s="743"/>
    </row>
    <row r="780" spans="1:16" s="733" customFormat="1" ht="18" customHeight="1" x14ac:dyDescent="0.3">
      <c r="A780" s="716">
        <v>772</v>
      </c>
      <c r="B780" s="734"/>
      <c r="C780" s="745"/>
      <c r="D780" s="910" t="s">
        <v>652</v>
      </c>
      <c r="E780" s="736"/>
      <c r="F780" s="736"/>
      <c r="G780" s="1364"/>
      <c r="H780" s="738"/>
      <c r="I780" s="299">
        <f>SUM(J780:Q780)</f>
        <v>0</v>
      </c>
      <c r="J780" s="1110"/>
      <c r="K780" s="1110"/>
      <c r="L780" s="1109"/>
      <c r="M780" s="1110"/>
      <c r="N780" s="1116"/>
      <c r="O780" s="743"/>
      <c r="P780" s="743"/>
    </row>
    <row r="781" spans="1:16" s="733" customFormat="1" ht="18" customHeight="1" x14ac:dyDescent="0.3">
      <c r="A781" s="716">
        <v>773</v>
      </c>
      <c r="B781" s="734"/>
      <c r="C781" s="745"/>
      <c r="D781" s="377" t="s">
        <v>858</v>
      </c>
      <c r="E781" s="736"/>
      <c r="F781" s="736"/>
      <c r="G781" s="1364"/>
      <c r="H781" s="738"/>
      <c r="I781" s="443">
        <f>SUM(J781:Q781)</f>
        <v>2010</v>
      </c>
      <c r="J781" s="752"/>
      <c r="K781" s="752"/>
      <c r="L781" s="1100">
        <f>SUM(L779:L780)</f>
        <v>2010</v>
      </c>
      <c r="M781" s="752"/>
      <c r="N781" s="753"/>
      <c r="O781" s="743"/>
      <c r="P781" s="743"/>
    </row>
    <row r="782" spans="1:16" ht="22.5" customHeight="1" x14ac:dyDescent="0.35">
      <c r="A782" s="716">
        <v>774</v>
      </c>
      <c r="B782" s="814"/>
      <c r="C782" s="745">
        <v>131</v>
      </c>
      <c r="D782" s="727" t="s">
        <v>378</v>
      </c>
      <c r="E782" s="736">
        <v>19787</v>
      </c>
      <c r="F782" s="736">
        <v>76522</v>
      </c>
      <c r="G782" s="1364">
        <v>28689</v>
      </c>
      <c r="H782" s="815" t="s">
        <v>24</v>
      </c>
      <c r="I782" s="816"/>
      <c r="J782" s="817"/>
      <c r="K782" s="817"/>
      <c r="L782" s="817"/>
      <c r="M782" s="817"/>
      <c r="N782" s="818"/>
    </row>
    <row r="783" spans="1:16" ht="18" customHeight="1" x14ac:dyDescent="0.35">
      <c r="A783" s="716">
        <v>775</v>
      </c>
      <c r="B783" s="814"/>
      <c r="C783" s="745"/>
      <c r="D783" s="241" t="s">
        <v>245</v>
      </c>
      <c r="E783" s="736"/>
      <c r="F783" s="736"/>
      <c r="G783" s="1364"/>
      <c r="H783" s="815"/>
      <c r="I783" s="739">
        <f>SUM(J783:N783)</f>
        <v>81863</v>
      </c>
      <c r="J783" s="817"/>
      <c r="K783" s="817"/>
      <c r="L783" s="819">
        <v>81863</v>
      </c>
      <c r="M783" s="820"/>
      <c r="N783" s="821"/>
    </row>
    <row r="784" spans="1:16" ht="18" customHeight="1" x14ac:dyDescent="0.35">
      <c r="A784" s="716">
        <v>776</v>
      </c>
      <c r="B784" s="1128"/>
      <c r="C784" s="745"/>
      <c r="D784" s="377" t="s">
        <v>810</v>
      </c>
      <c r="E784" s="728"/>
      <c r="F784" s="728"/>
      <c r="G784" s="1364"/>
      <c r="H784" s="1129"/>
      <c r="I784" s="1446">
        <f>SUM(J784:N784)</f>
        <v>88188</v>
      </c>
      <c r="J784" s="1453"/>
      <c r="K784" s="1453"/>
      <c r="L784" s="1135">
        <v>88188</v>
      </c>
      <c r="M784" s="1131"/>
      <c r="N784" s="1132"/>
    </row>
    <row r="785" spans="1:16" ht="18" customHeight="1" x14ac:dyDescent="0.35">
      <c r="A785" s="716">
        <v>777</v>
      </c>
      <c r="B785" s="1128"/>
      <c r="C785" s="745"/>
      <c r="D785" s="910" t="s">
        <v>882</v>
      </c>
      <c r="E785" s="728"/>
      <c r="F785" s="728"/>
      <c r="G785" s="1364"/>
      <c r="H785" s="1129"/>
      <c r="I785" s="299">
        <f>SUM(J785:Q785)</f>
        <v>4270</v>
      </c>
      <c r="J785" s="1136"/>
      <c r="K785" s="1136"/>
      <c r="L785" s="1323">
        <f>3030+1240</f>
        <v>4270</v>
      </c>
      <c r="M785" s="1137"/>
      <c r="N785" s="1138"/>
    </row>
    <row r="786" spans="1:16" ht="18" customHeight="1" x14ac:dyDescent="0.35">
      <c r="A786" s="716">
        <v>778</v>
      </c>
      <c r="B786" s="1128"/>
      <c r="C786" s="745"/>
      <c r="D786" s="377" t="s">
        <v>858</v>
      </c>
      <c r="E786" s="728"/>
      <c r="F786" s="728"/>
      <c r="G786" s="1364"/>
      <c r="H786" s="1129"/>
      <c r="I786" s="443">
        <f>SUM(J786:Q786)</f>
        <v>92458</v>
      </c>
      <c r="J786" s="1130"/>
      <c r="K786" s="1130"/>
      <c r="L786" s="1135">
        <f>SUM(L784:L785)</f>
        <v>92458</v>
      </c>
      <c r="M786" s="1131"/>
      <c r="N786" s="1132"/>
    </row>
    <row r="787" spans="1:16" s="813" customFormat="1" ht="22.5" customHeight="1" x14ac:dyDescent="0.35">
      <c r="A787" s="716">
        <v>779</v>
      </c>
      <c r="B787" s="797"/>
      <c r="C787" s="745">
        <v>134</v>
      </c>
      <c r="D787" s="746" t="s">
        <v>358</v>
      </c>
      <c r="E787" s="728">
        <v>2000</v>
      </c>
      <c r="F787" s="728">
        <v>2000</v>
      </c>
      <c r="G787" s="1364">
        <v>2000</v>
      </c>
      <c r="H787" s="729" t="s">
        <v>24</v>
      </c>
      <c r="I787" s="739"/>
      <c r="J787" s="799"/>
      <c r="K787" s="799"/>
      <c r="L787" s="799"/>
      <c r="M787" s="799"/>
      <c r="N787" s="782"/>
      <c r="O787" s="761"/>
      <c r="P787" s="761"/>
    </row>
    <row r="788" spans="1:16" s="813" customFormat="1" ht="18" customHeight="1" x14ac:dyDescent="0.35">
      <c r="A788" s="716">
        <v>780</v>
      </c>
      <c r="B788" s="797"/>
      <c r="C788" s="745"/>
      <c r="D788" s="241" t="s">
        <v>245</v>
      </c>
      <c r="E788" s="728"/>
      <c r="F788" s="728"/>
      <c r="G788" s="1364"/>
      <c r="H788" s="729"/>
      <c r="I788" s="739">
        <f>SUM(J788:N788)</f>
        <v>2000</v>
      </c>
      <c r="J788" s="799"/>
      <c r="K788" s="799"/>
      <c r="L788" s="799"/>
      <c r="M788" s="799"/>
      <c r="N788" s="782">
        <v>2000</v>
      </c>
      <c r="O788" s="761"/>
      <c r="P788" s="761"/>
    </row>
    <row r="789" spans="1:16" s="813" customFormat="1" ht="18" customHeight="1" x14ac:dyDescent="0.35">
      <c r="A789" s="716">
        <v>781</v>
      </c>
      <c r="B789" s="797"/>
      <c r="C789" s="745"/>
      <c r="D789" s="377" t="s">
        <v>810</v>
      </c>
      <c r="E789" s="728"/>
      <c r="F789" s="728"/>
      <c r="G789" s="1364"/>
      <c r="H789" s="729"/>
      <c r="I789" s="1446">
        <f>SUM(J789:N789)</f>
        <v>2000</v>
      </c>
      <c r="J789" s="1098"/>
      <c r="K789" s="1098"/>
      <c r="L789" s="1098"/>
      <c r="M789" s="1098"/>
      <c r="N789" s="1117">
        <v>2000</v>
      </c>
      <c r="O789" s="761"/>
      <c r="P789" s="761"/>
    </row>
    <row r="790" spans="1:16" s="813" customFormat="1" ht="18" customHeight="1" x14ac:dyDescent="0.35">
      <c r="A790" s="716">
        <v>782</v>
      </c>
      <c r="B790" s="797"/>
      <c r="C790" s="745"/>
      <c r="D790" s="910" t="s">
        <v>652</v>
      </c>
      <c r="E790" s="728"/>
      <c r="F790" s="728"/>
      <c r="G790" s="1364"/>
      <c r="H790" s="729"/>
      <c r="I790" s="299">
        <f>SUM(J790:Q790)</f>
        <v>0</v>
      </c>
      <c r="J790" s="1101"/>
      <c r="K790" s="1101"/>
      <c r="L790" s="1101"/>
      <c r="M790" s="1101"/>
      <c r="N790" s="1119"/>
      <c r="O790" s="761"/>
      <c r="P790" s="761"/>
    </row>
    <row r="791" spans="1:16" s="813" customFormat="1" ht="18" customHeight="1" x14ac:dyDescent="0.35">
      <c r="A791" s="716">
        <v>783</v>
      </c>
      <c r="B791" s="797"/>
      <c r="C791" s="745"/>
      <c r="D791" s="377" t="s">
        <v>858</v>
      </c>
      <c r="E791" s="728"/>
      <c r="F791" s="728"/>
      <c r="G791" s="1364"/>
      <c r="H791" s="729"/>
      <c r="I791" s="443">
        <f>SUM(J791:Q791)</f>
        <v>2000</v>
      </c>
      <c r="J791" s="799"/>
      <c r="K791" s="799"/>
      <c r="L791" s="799"/>
      <c r="M791" s="799"/>
      <c r="N791" s="1117">
        <f>SUM(N789:N790)</f>
        <v>2000</v>
      </c>
      <c r="O791" s="761"/>
      <c r="P791" s="761"/>
    </row>
    <row r="792" spans="1:16" s="743" customFormat="1" ht="22.5" customHeight="1" x14ac:dyDescent="0.3">
      <c r="A792" s="716">
        <v>784</v>
      </c>
      <c r="B792" s="734"/>
      <c r="C792" s="745">
        <v>135</v>
      </c>
      <c r="D792" s="746" t="s">
        <v>377</v>
      </c>
      <c r="E792" s="736"/>
      <c r="F792" s="736"/>
      <c r="G792" s="737"/>
      <c r="H792" s="738" t="s">
        <v>24</v>
      </c>
      <c r="I792" s="739"/>
      <c r="J792" s="740"/>
      <c r="K792" s="740"/>
      <c r="L792" s="740"/>
      <c r="M792" s="740"/>
      <c r="N792" s="742"/>
    </row>
    <row r="793" spans="1:16" s="743" customFormat="1" ht="18" customHeight="1" x14ac:dyDescent="0.3">
      <c r="A793" s="716">
        <v>785</v>
      </c>
      <c r="B793" s="734"/>
      <c r="C793" s="745"/>
      <c r="D793" s="241" t="s">
        <v>245</v>
      </c>
      <c r="E793" s="736">
        <v>10581</v>
      </c>
      <c r="F793" s="736">
        <v>17713</v>
      </c>
      <c r="G793" s="737">
        <v>22520</v>
      </c>
      <c r="H793" s="738"/>
      <c r="I793" s="739">
        <f>SUM(J793:N793)</f>
        <v>15406</v>
      </c>
      <c r="J793" s="740"/>
      <c r="K793" s="740"/>
      <c r="L793" s="741">
        <v>15406</v>
      </c>
      <c r="M793" s="741"/>
      <c r="N793" s="750"/>
    </row>
    <row r="794" spans="1:16" s="743" customFormat="1" ht="18" customHeight="1" x14ac:dyDescent="0.3">
      <c r="A794" s="716">
        <v>786</v>
      </c>
      <c r="B794" s="734"/>
      <c r="C794" s="745"/>
      <c r="D794" s="377" t="s">
        <v>810</v>
      </c>
      <c r="E794" s="736"/>
      <c r="F794" s="736"/>
      <c r="G794" s="737"/>
      <c r="H794" s="738"/>
      <c r="I794" s="1446">
        <f>SUM(J794:N794)</f>
        <v>37037</v>
      </c>
      <c r="J794" s="1099">
        <v>191</v>
      </c>
      <c r="K794" s="1099">
        <v>137</v>
      </c>
      <c r="L794" s="1099">
        <v>22759</v>
      </c>
      <c r="M794" s="1099"/>
      <c r="N794" s="1104">
        <v>13950</v>
      </c>
    </row>
    <row r="795" spans="1:16" s="743" customFormat="1" ht="18" customHeight="1" x14ac:dyDescent="0.3">
      <c r="A795" s="716">
        <v>787</v>
      </c>
      <c r="B795" s="734"/>
      <c r="C795" s="745"/>
      <c r="D795" s="910" t="s">
        <v>1060</v>
      </c>
      <c r="E795" s="736"/>
      <c r="F795" s="736"/>
      <c r="G795" s="737"/>
      <c r="H795" s="738"/>
      <c r="I795" s="299">
        <f t="shared" ref="I795:I801" si="30">SUM(J795:Q795)</f>
        <v>-300</v>
      </c>
      <c r="J795" s="1105"/>
      <c r="K795" s="1105"/>
      <c r="L795" s="1105">
        <v>-900</v>
      </c>
      <c r="M795" s="1106"/>
      <c r="N795" s="1115">
        <v>600</v>
      </c>
    </row>
    <row r="796" spans="1:16" s="743" customFormat="1" ht="18" customHeight="1" x14ac:dyDescent="0.3">
      <c r="A796" s="716">
        <v>788</v>
      </c>
      <c r="B796" s="734"/>
      <c r="C796" s="745"/>
      <c r="D796" s="910" t="s">
        <v>1052</v>
      </c>
      <c r="E796" s="736"/>
      <c r="F796" s="736"/>
      <c r="G796" s="737"/>
      <c r="H796" s="738"/>
      <c r="I796" s="299">
        <f t="shared" si="30"/>
        <v>-300</v>
      </c>
      <c r="J796" s="1105"/>
      <c r="K796" s="1105"/>
      <c r="L796" s="1105">
        <v>-300</v>
      </c>
      <c r="M796" s="1106"/>
      <c r="N796" s="1115"/>
    </row>
    <row r="797" spans="1:16" s="743" customFormat="1" ht="18" customHeight="1" x14ac:dyDescent="0.3">
      <c r="A797" s="716">
        <v>789</v>
      </c>
      <c r="B797" s="734"/>
      <c r="C797" s="745"/>
      <c r="D797" s="910" t="s">
        <v>1097</v>
      </c>
      <c r="E797" s="736"/>
      <c r="F797" s="736"/>
      <c r="G797" s="737"/>
      <c r="H797" s="738"/>
      <c r="I797" s="299">
        <f t="shared" si="30"/>
        <v>-450</v>
      </c>
      <c r="J797" s="1105"/>
      <c r="K797" s="1105"/>
      <c r="L797" s="1105">
        <v>-1050</v>
      </c>
      <c r="M797" s="1106"/>
      <c r="N797" s="1115">
        <v>600</v>
      </c>
    </row>
    <row r="798" spans="1:16" s="743" customFormat="1" ht="18" customHeight="1" x14ac:dyDescent="0.3">
      <c r="A798" s="716">
        <v>790</v>
      </c>
      <c r="B798" s="734"/>
      <c r="C798" s="745"/>
      <c r="D798" s="910" t="s">
        <v>1044</v>
      </c>
      <c r="E798" s="736"/>
      <c r="F798" s="736"/>
      <c r="G798" s="737"/>
      <c r="H798" s="738"/>
      <c r="I798" s="299">
        <f t="shared" si="30"/>
        <v>-100</v>
      </c>
      <c r="J798" s="1105"/>
      <c r="K798" s="1105"/>
      <c r="L798" s="1105">
        <v>-800</v>
      </c>
      <c r="M798" s="1106"/>
      <c r="N798" s="1115">
        <v>700</v>
      </c>
    </row>
    <row r="799" spans="1:16" s="743" customFormat="1" ht="18" customHeight="1" x14ac:dyDescent="0.3">
      <c r="A799" s="716">
        <v>791</v>
      </c>
      <c r="B799" s="734"/>
      <c r="C799" s="745"/>
      <c r="D799" s="910" t="s">
        <v>1074</v>
      </c>
      <c r="E799" s="736"/>
      <c r="F799" s="736"/>
      <c r="G799" s="737"/>
      <c r="H799" s="738"/>
      <c r="I799" s="299">
        <f t="shared" si="30"/>
        <v>-710</v>
      </c>
      <c r="J799" s="1105"/>
      <c r="K799" s="1105"/>
      <c r="L799" s="1105">
        <v>-710</v>
      </c>
      <c r="M799" s="1106"/>
      <c r="N799" s="1115"/>
    </row>
    <row r="800" spans="1:16" s="743" customFormat="1" ht="18" customHeight="1" x14ac:dyDescent="0.3">
      <c r="A800" s="716">
        <v>792</v>
      </c>
      <c r="B800" s="734"/>
      <c r="C800" s="745"/>
      <c r="D800" s="910" t="s">
        <v>1075</v>
      </c>
      <c r="E800" s="736"/>
      <c r="F800" s="736"/>
      <c r="G800" s="737"/>
      <c r="H800" s="738"/>
      <c r="I800" s="299">
        <f t="shared" si="30"/>
        <v>-110</v>
      </c>
      <c r="J800" s="1105"/>
      <c r="K800" s="1105"/>
      <c r="L800" s="1105">
        <v>-110</v>
      </c>
      <c r="M800" s="1106"/>
      <c r="N800" s="1115"/>
    </row>
    <row r="801" spans="1:16" s="743" customFormat="1" ht="18" customHeight="1" x14ac:dyDescent="0.3">
      <c r="A801" s="716">
        <v>793</v>
      </c>
      <c r="B801" s="734"/>
      <c r="C801" s="745"/>
      <c r="D801" s="910" t="s">
        <v>1080</v>
      </c>
      <c r="E801" s="736"/>
      <c r="F801" s="736"/>
      <c r="G801" s="737"/>
      <c r="H801" s="738"/>
      <c r="I801" s="299">
        <f t="shared" si="30"/>
        <v>221</v>
      </c>
      <c r="J801" s="1105"/>
      <c r="K801" s="1105"/>
      <c r="L801" s="1105">
        <v>78</v>
      </c>
      <c r="M801" s="1106"/>
      <c r="N801" s="1115">
        <v>143</v>
      </c>
    </row>
    <row r="802" spans="1:16" s="743" customFormat="1" ht="18" customHeight="1" x14ac:dyDescent="0.3">
      <c r="A802" s="716">
        <v>794</v>
      </c>
      <c r="B802" s="734"/>
      <c r="C802" s="745"/>
      <c r="D802" s="377" t="s">
        <v>858</v>
      </c>
      <c r="E802" s="736"/>
      <c r="F802" s="736"/>
      <c r="G802" s="737"/>
      <c r="H802" s="738"/>
      <c r="I802" s="443">
        <f>SUM(J802:Q802)</f>
        <v>35288</v>
      </c>
      <c r="J802" s="1099">
        <f>SUM(J794:J801)</f>
        <v>191</v>
      </c>
      <c r="K802" s="1099">
        <f>SUM(K794:K801)</f>
        <v>137</v>
      </c>
      <c r="L802" s="1099">
        <f>SUM(L794:L801)</f>
        <v>18967</v>
      </c>
      <c r="M802" s="1099"/>
      <c r="N802" s="1104">
        <f>SUM(N794:N801)</f>
        <v>15993</v>
      </c>
    </row>
    <row r="803" spans="1:16" s="743" customFormat="1" ht="23.45" customHeight="1" x14ac:dyDescent="0.3">
      <c r="A803" s="716">
        <v>795</v>
      </c>
      <c r="B803" s="734"/>
      <c r="C803" s="745">
        <v>136</v>
      </c>
      <c r="D803" s="822" t="s">
        <v>380</v>
      </c>
      <c r="E803" s="736">
        <v>5864</v>
      </c>
      <c r="F803" s="736"/>
      <c r="G803" s="737"/>
      <c r="H803" s="738" t="s">
        <v>23</v>
      </c>
      <c r="I803" s="739"/>
      <c r="J803" s="740"/>
      <c r="K803" s="740"/>
      <c r="L803" s="740"/>
      <c r="M803" s="740"/>
      <c r="N803" s="742"/>
    </row>
    <row r="804" spans="1:16" s="768" customFormat="1" ht="23.45" customHeight="1" x14ac:dyDescent="0.3">
      <c r="A804" s="716">
        <v>796</v>
      </c>
      <c r="B804" s="762"/>
      <c r="C804" s="745">
        <v>137</v>
      </c>
      <c r="D804" s="823" t="s">
        <v>566</v>
      </c>
      <c r="E804" s="736"/>
      <c r="F804" s="736"/>
      <c r="G804" s="1369"/>
      <c r="H804" s="811" t="s">
        <v>23</v>
      </c>
      <c r="I804" s="824"/>
      <c r="J804" s="825"/>
      <c r="K804" s="825"/>
      <c r="L804" s="826"/>
      <c r="M804" s="825"/>
      <c r="N804" s="827"/>
      <c r="P804" s="743"/>
    </row>
    <row r="805" spans="1:16" s="768" customFormat="1" ht="18" customHeight="1" x14ac:dyDescent="0.3">
      <c r="A805" s="716">
        <v>797</v>
      </c>
      <c r="B805" s="762"/>
      <c r="C805" s="763"/>
      <c r="D805" s="828" t="s">
        <v>245</v>
      </c>
      <c r="E805" s="737"/>
      <c r="F805" s="736"/>
      <c r="G805" s="1369"/>
      <c r="H805" s="811"/>
      <c r="I805" s="824">
        <f>SUM(J805:N805)</f>
        <v>2500</v>
      </c>
      <c r="J805" s="825"/>
      <c r="K805" s="825"/>
      <c r="L805" s="826">
        <v>2500</v>
      </c>
      <c r="M805" s="825"/>
      <c r="N805" s="827"/>
      <c r="P805" s="743"/>
    </row>
    <row r="806" spans="1:16" s="768" customFormat="1" ht="18" customHeight="1" x14ac:dyDescent="0.3">
      <c r="A806" s="716">
        <v>798</v>
      </c>
      <c r="B806" s="762"/>
      <c r="C806" s="763"/>
      <c r="D806" s="377" t="s">
        <v>810</v>
      </c>
      <c r="E806" s="737"/>
      <c r="F806" s="736"/>
      <c r="G806" s="1369"/>
      <c r="H806" s="811"/>
      <c r="I806" s="1445">
        <f>SUM(J806:N806)</f>
        <v>2500</v>
      </c>
      <c r="J806" s="1140"/>
      <c r="K806" s="1140"/>
      <c r="L806" s="1139">
        <v>2500</v>
      </c>
      <c r="M806" s="825"/>
      <c r="N806" s="827"/>
      <c r="P806" s="743"/>
    </row>
    <row r="807" spans="1:16" s="768" customFormat="1" ht="18" customHeight="1" x14ac:dyDescent="0.3">
      <c r="A807" s="716">
        <v>799</v>
      </c>
      <c r="B807" s="762"/>
      <c r="C807" s="763"/>
      <c r="D807" s="910" t="s">
        <v>652</v>
      </c>
      <c r="E807" s="737"/>
      <c r="F807" s="736"/>
      <c r="G807" s="1370"/>
      <c r="H807" s="811"/>
      <c r="I807" s="299">
        <f>SUM(J807:Q807)</f>
        <v>0</v>
      </c>
      <c r="J807" s="1140"/>
      <c r="K807" s="1140"/>
      <c r="L807" s="1143"/>
      <c r="M807" s="1140"/>
      <c r="N807" s="1124"/>
      <c r="P807" s="743"/>
    </row>
    <row r="808" spans="1:16" s="768" customFormat="1" ht="18" customHeight="1" x14ac:dyDescent="0.3">
      <c r="A808" s="716">
        <v>800</v>
      </c>
      <c r="B808" s="762"/>
      <c r="C808" s="763"/>
      <c r="D808" s="377" t="s">
        <v>858</v>
      </c>
      <c r="E808" s="737"/>
      <c r="F808" s="736"/>
      <c r="G808" s="1371"/>
      <c r="H808" s="811"/>
      <c r="I808" s="443">
        <f>SUM(J808:Q808)</f>
        <v>2500</v>
      </c>
      <c r="J808" s="825"/>
      <c r="K808" s="825"/>
      <c r="L808" s="1139">
        <f>SUM(L806:L807)</f>
        <v>2500</v>
      </c>
      <c r="M808" s="825"/>
      <c r="N808" s="827"/>
      <c r="P808" s="743"/>
    </row>
    <row r="809" spans="1:16" s="733" customFormat="1" ht="23.45" customHeight="1" x14ac:dyDescent="0.3">
      <c r="A809" s="716">
        <v>801</v>
      </c>
      <c r="B809" s="744"/>
      <c r="C809" s="745">
        <v>138</v>
      </c>
      <c r="D809" s="746" t="s">
        <v>379</v>
      </c>
      <c r="E809" s="736">
        <v>105000</v>
      </c>
      <c r="F809" s="736">
        <v>105000</v>
      </c>
      <c r="G809" s="1364">
        <v>40281</v>
      </c>
      <c r="H809" s="738" t="s">
        <v>24</v>
      </c>
      <c r="I809" s="739"/>
      <c r="J809" s="740"/>
      <c r="K809" s="740"/>
      <c r="L809" s="740"/>
      <c r="M809" s="740"/>
      <c r="N809" s="742"/>
      <c r="P809" s="743"/>
    </row>
    <row r="810" spans="1:16" s="733" customFormat="1" ht="18" customHeight="1" x14ac:dyDescent="0.3">
      <c r="A810" s="716">
        <v>802</v>
      </c>
      <c r="B810" s="725"/>
      <c r="C810" s="745"/>
      <c r="D810" s="241" t="s">
        <v>245</v>
      </c>
      <c r="F810" s="736"/>
      <c r="G810" s="1364"/>
      <c r="H810" s="729"/>
      <c r="I810" s="739">
        <f>SUM(J810:N810)</f>
        <v>105000</v>
      </c>
      <c r="J810" s="748"/>
      <c r="K810" s="748"/>
      <c r="L810" s="799">
        <f>70000+35000</f>
        <v>105000</v>
      </c>
      <c r="M810" s="748"/>
      <c r="N810" s="749"/>
      <c r="P810" s="743"/>
    </row>
    <row r="811" spans="1:16" s="733" customFormat="1" ht="18" customHeight="1" x14ac:dyDescent="0.3">
      <c r="A811" s="716">
        <v>803</v>
      </c>
      <c r="B811" s="725"/>
      <c r="C811" s="745"/>
      <c r="D811" s="377" t="s">
        <v>810</v>
      </c>
      <c r="F811" s="736"/>
      <c r="G811" s="1364"/>
      <c r="H811" s="729"/>
      <c r="I811" s="1446">
        <f>SUM(J811:N811)</f>
        <v>135000</v>
      </c>
      <c r="J811" s="731"/>
      <c r="K811" s="731"/>
      <c r="L811" s="1098">
        <v>135000</v>
      </c>
      <c r="M811" s="748"/>
      <c r="N811" s="749"/>
      <c r="P811" s="743"/>
    </row>
    <row r="812" spans="1:16" s="733" customFormat="1" ht="18" customHeight="1" x14ac:dyDescent="0.3">
      <c r="A812" s="716">
        <v>804</v>
      </c>
      <c r="B812" s="725"/>
      <c r="C812" s="745"/>
      <c r="D812" s="910" t="s">
        <v>652</v>
      </c>
      <c r="E812" s="1145"/>
      <c r="F812" s="736"/>
      <c r="G812" s="1364"/>
      <c r="H812" s="729"/>
      <c r="I812" s="299">
        <f>SUM(J812:Q812)</f>
        <v>0</v>
      </c>
      <c r="J812" s="1101"/>
      <c r="K812" s="1101"/>
      <c r="L812" s="1101"/>
      <c r="M812" s="1101"/>
      <c r="N812" s="1119"/>
      <c r="P812" s="743"/>
    </row>
    <row r="813" spans="1:16" s="733" customFormat="1" ht="18" customHeight="1" x14ac:dyDescent="0.3">
      <c r="A813" s="716">
        <v>805</v>
      </c>
      <c r="B813" s="725"/>
      <c r="C813" s="745"/>
      <c r="D813" s="377" t="s">
        <v>858</v>
      </c>
      <c r="F813" s="736"/>
      <c r="G813" s="1364"/>
      <c r="H813" s="729"/>
      <c r="I813" s="443">
        <f>SUM(J813:Q813)</f>
        <v>135000</v>
      </c>
      <c r="J813" s="748"/>
      <c r="K813" s="748"/>
      <c r="L813" s="1098">
        <f>SUM(L811:L812)</f>
        <v>135000</v>
      </c>
      <c r="M813" s="748"/>
      <c r="N813" s="749"/>
      <c r="P813" s="743"/>
    </row>
    <row r="814" spans="1:16" s="743" customFormat="1" ht="23.45" customHeight="1" x14ac:dyDescent="0.3">
      <c r="A814" s="716">
        <v>806</v>
      </c>
      <c r="B814" s="783"/>
      <c r="C814" s="745">
        <v>139</v>
      </c>
      <c r="D814" s="829" t="s">
        <v>381</v>
      </c>
      <c r="E814" s="736">
        <v>2400</v>
      </c>
      <c r="F814" s="736"/>
      <c r="G814" s="1364"/>
      <c r="H814" s="729" t="s">
        <v>24</v>
      </c>
      <c r="I814" s="739"/>
      <c r="J814" s="748"/>
      <c r="K814" s="748"/>
      <c r="L814" s="748"/>
      <c r="M814" s="748"/>
      <c r="N814" s="749"/>
    </row>
    <row r="815" spans="1:16" s="768" customFormat="1" ht="23.45" customHeight="1" x14ac:dyDescent="0.3">
      <c r="A815" s="716">
        <v>807</v>
      </c>
      <c r="B815" s="830"/>
      <c r="C815" s="745">
        <v>141</v>
      </c>
      <c r="D815" s="746" t="s">
        <v>564</v>
      </c>
      <c r="E815" s="728"/>
      <c r="F815" s="728"/>
      <c r="G815" s="1364"/>
      <c r="H815" s="729" t="s">
        <v>24</v>
      </c>
      <c r="I815" s="739"/>
      <c r="J815" s="831"/>
      <c r="K815" s="831"/>
      <c r="L815" s="748"/>
      <c r="M815" s="831"/>
      <c r="N815" s="832"/>
      <c r="P815" s="743"/>
    </row>
    <row r="816" spans="1:16" s="768" customFormat="1" ht="18" customHeight="1" x14ac:dyDescent="0.3">
      <c r="A816" s="716">
        <v>808</v>
      </c>
      <c r="B816" s="830"/>
      <c r="C816" s="763"/>
      <c r="D816" s="241" t="s">
        <v>245</v>
      </c>
      <c r="E816" s="728">
        <v>19455</v>
      </c>
      <c r="F816" s="728">
        <v>20000</v>
      </c>
      <c r="G816" s="1364">
        <v>19868</v>
      </c>
      <c r="H816" s="729"/>
      <c r="I816" s="739">
        <f>SUM(J816:N816)</f>
        <v>20000</v>
      </c>
      <c r="J816" s="831"/>
      <c r="K816" s="831"/>
      <c r="L816" s="799"/>
      <c r="M816" s="831"/>
      <c r="N816" s="782">
        <v>20000</v>
      </c>
      <c r="P816" s="743"/>
    </row>
    <row r="817" spans="1:16" s="768" customFormat="1" ht="18" customHeight="1" x14ac:dyDescent="0.3">
      <c r="A817" s="716">
        <v>809</v>
      </c>
      <c r="B817" s="830"/>
      <c r="C817" s="763"/>
      <c r="D817" s="377" t="s">
        <v>810</v>
      </c>
      <c r="E817" s="728"/>
      <c r="F817" s="728"/>
      <c r="G817" s="1125"/>
      <c r="H817" s="729"/>
      <c r="I817" s="1446">
        <f>SUM(J817:N817)</f>
        <v>32000</v>
      </c>
      <c r="J817" s="1101"/>
      <c r="K817" s="1101"/>
      <c r="L817" s="1098"/>
      <c r="M817" s="1101"/>
      <c r="N817" s="1134">
        <v>32000</v>
      </c>
      <c r="P817" s="743"/>
    </row>
    <row r="818" spans="1:16" s="768" customFormat="1" ht="18" customHeight="1" x14ac:dyDescent="0.3">
      <c r="A818" s="716">
        <v>810</v>
      </c>
      <c r="B818" s="830"/>
      <c r="C818" s="763"/>
      <c r="D818" s="910" t="s">
        <v>652</v>
      </c>
      <c r="E818" s="728"/>
      <c r="F818" s="728"/>
      <c r="G818" s="1125"/>
      <c r="H818" s="729"/>
      <c r="I818" s="299">
        <f>SUM(J818:Q818)</f>
        <v>0</v>
      </c>
      <c r="J818" s="1101"/>
      <c r="K818" s="1101"/>
      <c r="L818" s="1102"/>
      <c r="M818" s="1101"/>
      <c r="N818" s="1488"/>
      <c r="P818" s="743"/>
    </row>
    <row r="819" spans="1:16" s="768" customFormat="1" ht="18" customHeight="1" x14ac:dyDescent="0.3">
      <c r="A819" s="716">
        <v>811</v>
      </c>
      <c r="B819" s="830"/>
      <c r="C819" s="763"/>
      <c r="D819" s="377" t="s">
        <v>858</v>
      </c>
      <c r="E819" s="728"/>
      <c r="F819" s="728"/>
      <c r="G819" s="1125"/>
      <c r="H819" s="729"/>
      <c r="I819" s="443">
        <f>SUM(J819:Q819)</f>
        <v>32000</v>
      </c>
      <c r="J819" s="831"/>
      <c r="K819" s="831"/>
      <c r="L819" s="799"/>
      <c r="M819" s="831"/>
      <c r="N819" s="1134">
        <f>SUM(N817:N818)</f>
        <v>32000</v>
      </c>
      <c r="P819" s="743"/>
    </row>
    <row r="820" spans="1:16" s="768" customFormat="1" ht="23.45" customHeight="1" x14ac:dyDescent="0.3">
      <c r="A820" s="716">
        <v>812</v>
      </c>
      <c r="B820" s="762"/>
      <c r="C820" s="745">
        <v>142</v>
      </c>
      <c r="D820" s="833" t="s">
        <v>436</v>
      </c>
      <c r="E820" s="736">
        <v>1000</v>
      </c>
      <c r="F820" s="736"/>
      <c r="G820" s="1369"/>
      <c r="H820" s="729" t="s">
        <v>24</v>
      </c>
      <c r="I820" s="809"/>
      <c r="J820" s="766"/>
      <c r="K820" s="766"/>
      <c r="L820" s="741"/>
      <c r="M820" s="766"/>
      <c r="N820" s="810"/>
      <c r="P820" s="743"/>
    </row>
    <row r="821" spans="1:16" s="768" customFormat="1" ht="22.5" customHeight="1" x14ac:dyDescent="0.3">
      <c r="A821" s="716">
        <v>813</v>
      </c>
      <c r="B821" s="762"/>
      <c r="C821" s="745">
        <v>143</v>
      </c>
      <c r="D821" s="833" t="s">
        <v>437</v>
      </c>
      <c r="E821" s="808">
        <v>1500</v>
      </c>
      <c r="F821" s="736"/>
      <c r="G821" s="1369"/>
      <c r="H821" s="729" t="s">
        <v>24</v>
      </c>
      <c r="I821" s="809"/>
      <c r="J821" s="766"/>
      <c r="K821" s="766"/>
      <c r="L821" s="741"/>
      <c r="M821" s="766"/>
      <c r="N821" s="810"/>
      <c r="P821" s="743"/>
    </row>
    <row r="822" spans="1:16" s="768" customFormat="1" ht="18" customHeight="1" x14ac:dyDescent="0.3">
      <c r="A822" s="716">
        <v>814</v>
      </c>
      <c r="B822" s="762"/>
      <c r="C822" s="763"/>
      <c r="D822" s="828" t="s">
        <v>245</v>
      </c>
      <c r="E822" s="736"/>
      <c r="F822" s="736"/>
      <c r="G822" s="1369"/>
      <c r="H822" s="729"/>
      <c r="I822" s="739">
        <f>SUM(J822:N822)</f>
        <v>900</v>
      </c>
      <c r="J822" s="766"/>
      <c r="K822" s="766"/>
      <c r="L822" s="741"/>
      <c r="M822" s="766"/>
      <c r="N822" s="827">
        <v>900</v>
      </c>
      <c r="P822" s="743"/>
    </row>
    <row r="823" spans="1:16" s="768" customFormat="1" ht="18" customHeight="1" x14ac:dyDescent="0.3">
      <c r="A823" s="716">
        <v>815</v>
      </c>
      <c r="B823" s="762"/>
      <c r="C823" s="763"/>
      <c r="D823" s="1146" t="s">
        <v>810</v>
      </c>
      <c r="E823" s="736"/>
      <c r="F823" s="736"/>
      <c r="G823" s="1369"/>
      <c r="H823" s="729"/>
      <c r="I823" s="739">
        <f>SUM(J823:N823)</f>
        <v>900</v>
      </c>
      <c r="J823" s="766"/>
      <c r="K823" s="766"/>
      <c r="L823" s="741"/>
      <c r="M823" s="766"/>
      <c r="N823" s="1141">
        <v>900</v>
      </c>
      <c r="P823" s="743"/>
    </row>
    <row r="824" spans="1:16" s="768" customFormat="1" ht="18" customHeight="1" x14ac:dyDescent="0.3">
      <c r="A824" s="716">
        <v>816</v>
      </c>
      <c r="B824" s="762"/>
      <c r="C824" s="763"/>
      <c r="D824" s="910" t="s">
        <v>652</v>
      </c>
      <c r="E824" s="736"/>
      <c r="F824" s="736"/>
      <c r="G824" s="1369"/>
      <c r="H824" s="729"/>
      <c r="I824" s="299">
        <f>SUM(J824:Q824)</f>
        <v>0</v>
      </c>
      <c r="J824" s="1105"/>
      <c r="K824" s="1105"/>
      <c r="L824" s="1106"/>
      <c r="M824" s="1105"/>
      <c r="N824" s="1124"/>
      <c r="P824" s="743"/>
    </row>
    <row r="825" spans="1:16" s="768" customFormat="1" ht="18" customHeight="1" x14ac:dyDescent="0.3">
      <c r="A825" s="716">
        <v>817</v>
      </c>
      <c r="B825" s="762"/>
      <c r="C825" s="763"/>
      <c r="D825" s="1146" t="s">
        <v>858</v>
      </c>
      <c r="E825" s="736"/>
      <c r="F825" s="736"/>
      <c r="G825" s="1369"/>
      <c r="H825" s="729"/>
      <c r="I825" s="443">
        <f>SUM(J825:Q825)</f>
        <v>900</v>
      </c>
      <c r="J825" s="766"/>
      <c r="K825" s="766"/>
      <c r="L825" s="741"/>
      <c r="M825" s="766"/>
      <c r="N825" s="1141">
        <f>SUM(N823:N824)</f>
        <v>900</v>
      </c>
      <c r="P825" s="743"/>
    </row>
    <row r="826" spans="1:16" s="768" customFormat="1" ht="23.45" customHeight="1" x14ac:dyDescent="0.3">
      <c r="A826" s="716">
        <v>818</v>
      </c>
      <c r="B826" s="762"/>
      <c r="C826" s="745">
        <v>144</v>
      </c>
      <c r="D826" s="1147" t="s">
        <v>438</v>
      </c>
      <c r="E826" s="736">
        <v>15000</v>
      </c>
      <c r="F826" s="736"/>
      <c r="G826" s="1369"/>
      <c r="H826" s="729" t="s">
        <v>24</v>
      </c>
      <c r="I826" s="809"/>
      <c r="J826" s="766"/>
      <c r="K826" s="766"/>
      <c r="L826" s="741"/>
      <c r="M826" s="766"/>
      <c r="N826" s="810"/>
      <c r="P826" s="743"/>
    </row>
    <row r="827" spans="1:16" s="768" customFormat="1" ht="23.45" customHeight="1" x14ac:dyDescent="0.3">
      <c r="A827" s="716">
        <v>819</v>
      </c>
      <c r="B827" s="762"/>
      <c r="C827" s="745">
        <v>145</v>
      </c>
      <c r="D827" s="837" t="s">
        <v>439</v>
      </c>
      <c r="E827" s="736">
        <v>6000</v>
      </c>
      <c r="F827" s="736">
        <v>10000</v>
      </c>
      <c r="G827" s="1369">
        <v>6400</v>
      </c>
      <c r="H827" s="729" t="s">
        <v>24</v>
      </c>
      <c r="I827" s="809"/>
      <c r="J827" s="766"/>
      <c r="K827" s="766"/>
      <c r="L827" s="741"/>
      <c r="M827" s="766"/>
      <c r="N827" s="810"/>
      <c r="P827" s="743"/>
    </row>
    <row r="828" spans="1:16" s="768" customFormat="1" ht="18" customHeight="1" x14ac:dyDescent="0.3">
      <c r="A828" s="716">
        <v>820</v>
      </c>
      <c r="B828" s="762"/>
      <c r="C828" s="745"/>
      <c r="D828" s="1148" t="s">
        <v>245</v>
      </c>
      <c r="E828" s="736"/>
      <c r="F828" s="736"/>
      <c r="G828" s="1369"/>
      <c r="H828" s="729"/>
      <c r="I828" s="739">
        <f>SUM(J828:N828)</f>
        <v>6500</v>
      </c>
      <c r="J828" s="766"/>
      <c r="K828" s="766"/>
      <c r="L828" s="741"/>
      <c r="M828" s="766"/>
      <c r="N828" s="827">
        <f>10100-100-3500</f>
        <v>6500</v>
      </c>
      <c r="P828" s="743"/>
    </row>
    <row r="829" spans="1:16" s="768" customFormat="1" ht="18" customHeight="1" x14ac:dyDescent="0.3">
      <c r="A829" s="716">
        <v>821</v>
      </c>
      <c r="B829" s="762"/>
      <c r="C829" s="745"/>
      <c r="D829" s="1146" t="s">
        <v>810</v>
      </c>
      <c r="E829" s="736"/>
      <c r="F829" s="736"/>
      <c r="G829" s="1369"/>
      <c r="H829" s="729"/>
      <c r="I829" s="1446">
        <f>SUM(J829:N829)</f>
        <v>6500</v>
      </c>
      <c r="J829" s="1105"/>
      <c r="K829" s="1105"/>
      <c r="L829" s="1099"/>
      <c r="M829" s="1105"/>
      <c r="N829" s="1141">
        <v>6500</v>
      </c>
      <c r="P829" s="743"/>
    </row>
    <row r="830" spans="1:16" s="768" customFormat="1" ht="18" customHeight="1" x14ac:dyDescent="0.3">
      <c r="A830" s="716">
        <v>822</v>
      </c>
      <c r="B830" s="762"/>
      <c r="C830" s="745"/>
      <c r="D830" s="910" t="s">
        <v>652</v>
      </c>
      <c r="E830" s="736"/>
      <c r="F830" s="736"/>
      <c r="G830" s="1369"/>
      <c r="H830" s="729"/>
      <c r="I830" s="299">
        <f>SUM(J830:Q830)</f>
        <v>0</v>
      </c>
      <c r="J830" s="1105"/>
      <c r="K830" s="1105"/>
      <c r="L830" s="1106"/>
      <c r="M830" s="1105"/>
      <c r="N830" s="1124"/>
      <c r="P830" s="743"/>
    </row>
    <row r="831" spans="1:16" s="768" customFormat="1" ht="18" customHeight="1" x14ac:dyDescent="0.3">
      <c r="A831" s="716">
        <v>823</v>
      </c>
      <c r="B831" s="762"/>
      <c r="C831" s="745"/>
      <c r="D831" s="1146" t="s">
        <v>858</v>
      </c>
      <c r="E831" s="736"/>
      <c r="F831" s="736"/>
      <c r="G831" s="1369"/>
      <c r="H831" s="729"/>
      <c r="I831" s="443">
        <f>SUM(J831:Q831)</f>
        <v>6500</v>
      </c>
      <c r="J831" s="766"/>
      <c r="K831" s="766"/>
      <c r="L831" s="741"/>
      <c r="M831" s="766"/>
      <c r="N831" s="1141">
        <f>SUM(N829:N830)</f>
        <v>6500</v>
      </c>
      <c r="P831" s="743"/>
    </row>
    <row r="832" spans="1:16" s="768" customFormat="1" ht="23.45" customHeight="1" x14ac:dyDescent="0.3">
      <c r="A832" s="716">
        <v>824</v>
      </c>
      <c r="B832" s="762"/>
      <c r="C832" s="745">
        <v>146</v>
      </c>
      <c r="D832" s="837" t="s">
        <v>440</v>
      </c>
      <c r="E832" s="736">
        <v>1650</v>
      </c>
      <c r="F832" s="736">
        <v>1650</v>
      </c>
      <c r="G832" s="1369">
        <v>1650</v>
      </c>
      <c r="H832" s="729" t="s">
        <v>24</v>
      </c>
      <c r="I832" s="809"/>
      <c r="J832" s="766"/>
      <c r="K832" s="766"/>
      <c r="L832" s="741"/>
      <c r="M832" s="766"/>
      <c r="N832" s="810"/>
      <c r="P832" s="743"/>
    </row>
    <row r="833" spans="1:16" s="768" customFormat="1" ht="18" customHeight="1" x14ac:dyDescent="0.3">
      <c r="A833" s="716">
        <v>825</v>
      </c>
      <c r="B833" s="762"/>
      <c r="C833" s="745"/>
      <c r="D833" s="1148" t="s">
        <v>245</v>
      </c>
      <c r="E833" s="736"/>
      <c r="F833" s="736"/>
      <c r="G833" s="1369"/>
      <c r="H833" s="729"/>
      <c r="I833" s="739">
        <f>SUM(J833:N833)</f>
        <v>1650</v>
      </c>
      <c r="J833" s="766"/>
      <c r="K833" s="766"/>
      <c r="L833" s="741"/>
      <c r="M833" s="766"/>
      <c r="N833" s="827">
        <v>1650</v>
      </c>
      <c r="P833" s="743"/>
    </row>
    <row r="834" spans="1:16" s="768" customFormat="1" ht="18" customHeight="1" x14ac:dyDescent="0.3">
      <c r="A834" s="716">
        <v>826</v>
      </c>
      <c r="B834" s="762"/>
      <c r="C834" s="745"/>
      <c r="D834" s="1146" t="s">
        <v>810</v>
      </c>
      <c r="E834" s="736"/>
      <c r="F834" s="736"/>
      <c r="G834" s="1369"/>
      <c r="H834" s="729"/>
      <c r="I834" s="1446">
        <f>SUM(J834:N834)</f>
        <v>1650</v>
      </c>
      <c r="J834" s="1105"/>
      <c r="K834" s="1105"/>
      <c r="L834" s="1099"/>
      <c r="M834" s="1105"/>
      <c r="N834" s="1141">
        <v>1650</v>
      </c>
      <c r="P834" s="743"/>
    </row>
    <row r="835" spans="1:16" s="768" customFormat="1" ht="18" customHeight="1" x14ac:dyDescent="0.3">
      <c r="A835" s="716">
        <v>827</v>
      </c>
      <c r="B835" s="762"/>
      <c r="C835" s="745"/>
      <c r="D835" s="910" t="s">
        <v>652</v>
      </c>
      <c r="E835" s="736"/>
      <c r="F835" s="736"/>
      <c r="G835" s="1369"/>
      <c r="H835" s="729"/>
      <c r="I835" s="299">
        <f>SUM(J835:Q835)</f>
        <v>0</v>
      </c>
      <c r="J835" s="1105"/>
      <c r="K835" s="1105"/>
      <c r="L835" s="1106"/>
      <c r="M835" s="1105"/>
      <c r="N835" s="1124"/>
      <c r="P835" s="743"/>
    </row>
    <row r="836" spans="1:16" s="768" customFormat="1" ht="18" customHeight="1" x14ac:dyDescent="0.3">
      <c r="A836" s="716">
        <v>828</v>
      </c>
      <c r="B836" s="762"/>
      <c r="C836" s="745"/>
      <c r="D836" s="1146" t="s">
        <v>858</v>
      </c>
      <c r="E836" s="736"/>
      <c r="F836" s="736"/>
      <c r="G836" s="1369"/>
      <c r="H836" s="729"/>
      <c r="I836" s="443">
        <f>SUM(J836:Q836)</f>
        <v>1650</v>
      </c>
      <c r="J836" s="766"/>
      <c r="K836" s="766"/>
      <c r="L836" s="741"/>
      <c r="M836" s="766"/>
      <c r="N836" s="1141">
        <f>SUM(N834:N835)</f>
        <v>1650</v>
      </c>
      <c r="P836" s="743"/>
    </row>
    <row r="837" spans="1:16" s="768" customFormat="1" ht="23.45" customHeight="1" x14ac:dyDescent="0.3">
      <c r="A837" s="716">
        <v>829</v>
      </c>
      <c r="B837" s="762"/>
      <c r="C837" s="745">
        <v>147</v>
      </c>
      <c r="D837" s="837" t="s">
        <v>441</v>
      </c>
      <c r="E837" s="736"/>
      <c r="F837" s="736">
        <v>43000</v>
      </c>
      <c r="G837" s="1369">
        <v>1940</v>
      </c>
      <c r="H837" s="729" t="s">
        <v>23</v>
      </c>
      <c r="I837" s="809"/>
      <c r="J837" s="766"/>
      <c r="K837" s="766"/>
      <c r="L837" s="741"/>
      <c r="M837" s="766"/>
      <c r="N837" s="810"/>
      <c r="P837" s="743"/>
    </row>
    <row r="838" spans="1:16" s="768" customFormat="1" ht="18" customHeight="1" x14ac:dyDescent="0.3">
      <c r="A838" s="716">
        <v>830</v>
      </c>
      <c r="B838" s="762"/>
      <c r="C838" s="745"/>
      <c r="D838" s="1148" t="s">
        <v>245</v>
      </c>
      <c r="E838" s="736"/>
      <c r="F838" s="736"/>
      <c r="G838" s="1369"/>
      <c r="H838" s="729"/>
      <c r="I838" s="739">
        <f>SUM(J838:N838)</f>
        <v>108736</v>
      </c>
      <c r="J838" s="766"/>
      <c r="K838" s="766"/>
      <c r="L838" s="741">
        <f>15000+93736</f>
        <v>108736</v>
      </c>
      <c r="M838" s="825"/>
      <c r="N838" s="810"/>
      <c r="P838" s="743"/>
    </row>
    <row r="839" spans="1:16" s="768" customFormat="1" ht="18" customHeight="1" x14ac:dyDescent="0.3">
      <c r="A839" s="716">
        <v>831</v>
      </c>
      <c r="B839" s="762"/>
      <c r="C839" s="745"/>
      <c r="D839" s="1146" t="s">
        <v>810</v>
      </c>
      <c r="E839" s="736"/>
      <c r="F839" s="736"/>
      <c r="G839" s="1369"/>
      <c r="H839" s="729"/>
      <c r="I839" s="1446">
        <f>SUM(J839:N839)</f>
        <v>108736</v>
      </c>
      <c r="J839" s="1105"/>
      <c r="K839" s="1105"/>
      <c r="L839" s="1099">
        <v>108736</v>
      </c>
      <c r="M839" s="825"/>
      <c r="N839" s="810"/>
      <c r="P839" s="743"/>
    </row>
    <row r="840" spans="1:16" s="768" customFormat="1" ht="18" customHeight="1" x14ac:dyDescent="0.3">
      <c r="A840" s="716">
        <v>832</v>
      </c>
      <c r="B840" s="762"/>
      <c r="C840" s="745"/>
      <c r="D840" s="910" t="s">
        <v>652</v>
      </c>
      <c r="E840" s="736"/>
      <c r="F840" s="736"/>
      <c r="G840" s="1369"/>
      <c r="H840" s="729"/>
      <c r="I840" s="299">
        <f>SUM(J840:Q840)</f>
        <v>0</v>
      </c>
      <c r="J840" s="1105"/>
      <c r="K840" s="1105"/>
      <c r="L840" s="1106"/>
      <c r="M840" s="1140"/>
      <c r="N840" s="1124"/>
      <c r="P840" s="743"/>
    </row>
    <row r="841" spans="1:16" s="768" customFormat="1" ht="18" customHeight="1" x14ac:dyDescent="0.3">
      <c r="A841" s="716">
        <v>833</v>
      </c>
      <c r="B841" s="762"/>
      <c r="C841" s="745"/>
      <c r="D841" s="1146" t="s">
        <v>858</v>
      </c>
      <c r="E841" s="736"/>
      <c r="F841" s="736"/>
      <c r="G841" s="1369"/>
      <c r="H841" s="729"/>
      <c r="I841" s="443">
        <f>SUM(J841:Q841)</f>
        <v>108736</v>
      </c>
      <c r="J841" s="766"/>
      <c r="K841" s="766"/>
      <c r="L841" s="1099">
        <f>SUM(L839:L840)</f>
        <v>108736</v>
      </c>
      <c r="M841" s="825"/>
      <c r="N841" s="810"/>
      <c r="P841" s="743"/>
    </row>
    <row r="842" spans="1:16" s="768" customFormat="1" ht="23.45" customHeight="1" x14ac:dyDescent="0.3">
      <c r="A842" s="716">
        <v>834</v>
      </c>
      <c r="B842" s="762"/>
      <c r="C842" s="745">
        <v>148</v>
      </c>
      <c r="D842" s="837" t="s">
        <v>442</v>
      </c>
      <c r="E842" s="736"/>
      <c r="F842" s="736">
        <v>20500</v>
      </c>
      <c r="G842" s="1369">
        <v>20320</v>
      </c>
      <c r="H842" s="729" t="s">
        <v>24</v>
      </c>
      <c r="I842" s="809"/>
      <c r="J842" s="766"/>
      <c r="K842" s="766"/>
      <c r="L842" s="741"/>
      <c r="M842" s="766"/>
      <c r="N842" s="810"/>
      <c r="P842" s="743"/>
    </row>
    <row r="843" spans="1:16" s="768" customFormat="1" ht="18" customHeight="1" x14ac:dyDescent="0.3">
      <c r="A843" s="716">
        <v>835</v>
      </c>
      <c r="B843" s="762"/>
      <c r="C843" s="745"/>
      <c r="D843" s="1148" t="s">
        <v>245</v>
      </c>
      <c r="E843" s="736"/>
      <c r="F843" s="736"/>
      <c r="G843" s="1369"/>
      <c r="H843" s="729"/>
      <c r="I843" s="739">
        <f>SUM(J843:N843)</f>
        <v>20500</v>
      </c>
      <c r="J843" s="766"/>
      <c r="K843" s="766"/>
      <c r="L843" s="741">
        <f>10000+10500</f>
        <v>20500</v>
      </c>
      <c r="M843" s="766"/>
      <c r="N843" s="810"/>
      <c r="P843" s="743"/>
    </row>
    <row r="844" spans="1:16" s="768" customFormat="1" ht="18" customHeight="1" x14ac:dyDescent="0.3">
      <c r="A844" s="716">
        <v>836</v>
      </c>
      <c r="B844" s="762"/>
      <c r="C844" s="745"/>
      <c r="D844" s="1146" t="s">
        <v>810</v>
      </c>
      <c r="E844" s="736"/>
      <c r="F844" s="736"/>
      <c r="G844" s="1369"/>
      <c r="H844" s="729"/>
      <c r="I844" s="1446">
        <f>SUM(J844:N844)</f>
        <v>20500</v>
      </c>
      <c r="J844" s="1105"/>
      <c r="K844" s="1105"/>
      <c r="L844" s="1099">
        <v>20500</v>
      </c>
      <c r="M844" s="766"/>
      <c r="N844" s="810"/>
      <c r="P844" s="743"/>
    </row>
    <row r="845" spans="1:16" s="768" customFormat="1" ht="18" customHeight="1" x14ac:dyDescent="0.3">
      <c r="A845" s="716">
        <v>837</v>
      </c>
      <c r="B845" s="762"/>
      <c r="C845" s="745"/>
      <c r="D845" s="910" t="s">
        <v>652</v>
      </c>
      <c r="E845" s="736"/>
      <c r="F845" s="736"/>
      <c r="G845" s="1369"/>
      <c r="H845" s="729"/>
      <c r="I845" s="299">
        <f>SUM(J845:Q845)</f>
        <v>0</v>
      </c>
      <c r="J845" s="1105"/>
      <c r="K845" s="1105"/>
      <c r="L845" s="1106"/>
      <c r="M845" s="1105"/>
      <c r="N845" s="1124"/>
      <c r="P845" s="743"/>
    </row>
    <row r="846" spans="1:16" s="768" customFormat="1" ht="18" customHeight="1" x14ac:dyDescent="0.3">
      <c r="A846" s="716">
        <v>838</v>
      </c>
      <c r="B846" s="762"/>
      <c r="C846" s="745"/>
      <c r="D846" s="1146" t="s">
        <v>858</v>
      </c>
      <c r="E846" s="736"/>
      <c r="F846" s="736"/>
      <c r="G846" s="1369"/>
      <c r="H846" s="729"/>
      <c r="I846" s="443">
        <f>SUM(J846:Q846)</f>
        <v>20500</v>
      </c>
      <c r="J846" s="766"/>
      <c r="K846" s="766"/>
      <c r="L846" s="1099">
        <f>SUM(L844:L845)</f>
        <v>20500</v>
      </c>
      <c r="M846" s="766"/>
      <c r="N846" s="810"/>
      <c r="P846" s="743"/>
    </row>
    <row r="847" spans="1:16" s="768" customFormat="1" ht="23.45" customHeight="1" x14ac:dyDescent="0.3">
      <c r="A847" s="716">
        <v>839</v>
      </c>
      <c r="B847" s="762"/>
      <c r="C847" s="745">
        <v>149</v>
      </c>
      <c r="D847" s="837" t="s">
        <v>443</v>
      </c>
      <c r="E847" s="736"/>
      <c r="F847" s="736">
        <v>5000</v>
      </c>
      <c r="G847" s="1369">
        <v>9167</v>
      </c>
      <c r="H847" s="729" t="s">
        <v>24</v>
      </c>
      <c r="I847" s="809"/>
      <c r="J847" s="766"/>
      <c r="K847" s="766"/>
      <c r="L847" s="741"/>
      <c r="M847" s="766"/>
      <c r="N847" s="810"/>
      <c r="P847" s="743"/>
    </row>
    <row r="848" spans="1:16" s="768" customFormat="1" ht="18" customHeight="1" x14ac:dyDescent="0.3">
      <c r="A848" s="716">
        <v>840</v>
      </c>
      <c r="B848" s="762"/>
      <c r="C848" s="745"/>
      <c r="D848" s="1148" t="s">
        <v>245</v>
      </c>
      <c r="E848" s="736"/>
      <c r="F848" s="736"/>
      <c r="G848" s="1369"/>
      <c r="H848" s="729"/>
      <c r="I848" s="739">
        <f>SUM(J848:N848)</f>
        <v>10833</v>
      </c>
      <c r="J848" s="766"/>
      <c r="K848" s="766"/>
      <c r="L848" s="741">
        <f>10000+833</f>
        <v>10833</v>
      </c>
      <c r="M848" s="766"/>
      <c r="N848" s="810"/>
      <c r="P848" s="743"/>
    </row>
    <row r="849" spans="1:16" s="768" customFormat="1" ht="18" customHeight="1" x14ac:dyDescent="0.3">
      <c r="A849" s="716">
        <v>841</v>
      </c>
      <c r="B849" s="762"/>
      <c r="C849" s="745"/>
      <c r="D849" s="377" t="s">
        <v>810</v>
      </c>
      <c r="E849" s="736"/>
      <c r="F849" s="736"/>
      <c r="G849" s="1369"/>
      <c r="H849" s="729"/>
      <c r="I849" s="1446">
        <f>SUM(J849:N849)</f>
        <v>10833</v>
      </c>
      <c r="J849" s="1105"/>
      <c r="K849" s="1105"/>
      <c r="L849" s="1099">
        <v>10833</v>
      </c>
      <c r="M849" s="766"/>
      <c r="N849" s="810"/>
      <c r="P849" s="743"/>
    </row>
    <row r="850" spans="1:16" s="768" customFormat="1" ht="18" customHeight="1" x14ac:dyDescent="0.3">
      <c r="A850" s="716">
        <v>842</v>
      </c>
      <c r="B850" s="762"/>
      <c r="C850" s="745"/>
      <c r="D850" s="910" t="s">
        <v>652</v>
      </c>
      <c r="E850" s="736"/>
      <c r="F850" s="736"/>
      <c r="G850" s="1369"/>
      <c r="H850" s="729"/>
      <c r="I850" s="299">
        <f>SUM(J850:Q850)</f>
        <v>0</v>
      </c>
      <c r="J850" s="1105"/>
      <c r="K850" s="1105"/>
      <c r="L850" s="1106"/>
      <c r="M850" s="1105"/>
      <c r="N850" s="1124"/>
      <c r="P850" s="743"/>
    </row>
    <row r="851" spans="1:16" s="768" customFormat="1" ht="18" customHeight="1" x14ac:dyDescent="0.3">
      <c r="A851" s="716">
        <v>843</v>
      </c>
      <c r="B851" s="762"/>
      <c r="C851" s="745"/>
      <c r="D851" s="377" t="s">
        <v>858</v>
      </c>
      <c r="E851" s="808"/>
      <c r="F851" s="736"/>
      <c r="G851" s="1369"/>
      <c r="H851" s="729"/>
      <c r="I851" s="443">
        <f>SUM(J851:Q851)</f>
        <v>10833</v>
      </c>
      <c r="J851" s="766"/>
      <c r="K851" s="766"/>
      <c r="L851" s="1099">
        <f>SUM(L849:L850)</f>
        <v>10833</v>
      </c>
      <c r="M851" s="766"/>
      <c r="N851" s="810"/>
      <c r="P851" s="743"/>
    </row>
    <row r="852" spans="1:16" s="768" customFormat="1" ht="23.45" customHeight="1" x14ac:dyDescent="0.3">
      <c r="A852" s="716">
        <v>844</v>
      </c>
      <c r="B852" s="762"/>
      <c r="C852" s="745">
        <v>150</v>
      </c>
      <c r="D852" s="746" t="s">
        <v>444</v>
      </c>
      <c r="E852" s="808">
        <v>1500</v>
      </c>
      <c r="F852" s="736">
        <v>3000</v>
      </c>
      <c r="G852" s="1369">
        <v>3000</v>
      </c>
      <c r="H852" s="729" t="s">
        <v>24</v>
      </c>
      <c r="I852" s="809"/>
      <c r="J852" s="766"/>
      <c r="K852" s="766"/>
      <c r="L852" s="741"/>
      <c r="M852" s="766"/>
      <c r="N852" s="810"/>
      <c r="P852" s="743"/>
    </row>
    <row r="853" spans="1:16" s="768" customFormat="1" ht="18" customHeight="1" x14ac:dyDescent="0.3">
      <c r="A853" s="716">
        <v>845</v>
      </c>
      <c r="B853" s="762"/>
      <c r="C853" s="745"/>
      <c r="D853" s="377" t="s">
        <v>810</v>
      </c>
      <c r="E853" s="808"/>
      <c r="F853" s="736"/>
      <c r="G853" s="1369"/>
      <c r="H853" s="729"/>
      <c r="I853" s="443">
        <f>SUM(J853:Q853)</f>
        <v>3000</v>
      </c>
      <c r="J853" s="766"/>
      <c r="K853" s="766"/>
      <c r="L853" s="741"/>
      <c r="M853" s="766"/>
      <c r="N853" s="1141">
        <v>3000</v>
      </c>
      <c r="P853" s="743"/>
    </row>
    <row r="854" spans="1:16" s="768" customFormat="1" ht="18" customHeight="1" x14ac:dyDescent="0.3">
      <c r="A854" s="716">
        <v>846</v>
      </c>
      <c r="B854" s="762"/>
      <c r="C854" s="745"/>
      <c r="D854" s="910" t="s">
        <v>652</v>
      </c>
      <c r="E854" s="808"/>
      <c r="F854" s="736"/>
      <c r="G854" s="1369"/>
      <c r="H854" s="729"/>
      <c r="I854" s="299">
        <f>SUM(J854:Q854)</f>
        <v>0</v>
      </c>
      <c r="J854" s="766"/>
      <c r="K854" s="766"/>
      <c r="L854" s="741"/>
      <c r="M854" s="766"/>
      <c r="N854" s="1149"/>
      <c r="P854" s="743"/>
    </row>
    <row r="855" spans="1:16" s="768" customFormat="1" ht="18" customHeight="1" x14ac:dyDescent="0.3">
      <c r="A855" s="716">
        <v>847</v>
      </c>
      <c r="B855" s="762"/>
      <c r="C855" s="745"/>
      <c r="D855" s="377" t="s">
        <v>858</v>
      </c>
      <c r="E855" s="808"/>
      <c r="F855" s="736"/>
      <c r="G855" s="1369"/>
      <c r="H855" s="729"/>
      <c r="I855" s="443">
        <f>SUM(J855:Q855)</f>
        <v>3000</v>
      </c>
      <c r="J855" s="766"/>
      <c r="K855" s="766"/>
      <c r="L855" s="741"/>
      <c r="M855" s="766"/>
      <c r="N855" s="1141">
        <f>SUM(N853:N854)</f>
        <v>3000</v>
      </c>
      <c r="P855" s="743"/>
    </row>
    <row r="856" spans="1:16" s="768" customFormat="1" ht="23.45" customHeight="1" x14ac:dyDescent="0.3">
      <c r="A856" s="716">
        <v>848</v>
      </c>
      <c r="B856" s="762"/>
      <c r="C856" s="745">
        <v>151</v>
      </c>
      <c r="D856" s="746" t="s">
        <v>446</v>
      </c>
      <c r="E856" s="808"/>
      <c r="F856" s="736">
        <v>14705</v>
      </c>
      <c r="G856" s="1369"/>
      <c r="H856" s="729" t="s">
        <v>24</v>
      </c>
      <c r="I856" s="824"/>
      <c r="J856" s="766"/>
      <c r="K856" s="766"/>
      <c r="L856" s="741"/>
      <c r="M856" s="766"/>
      <c r="N856" s="810"/>
      <c r="P856" s="743"/>
    </row>
    <row r="857" spans="1:16" s="768" customFormat="1" ht="23.45" customHeight="1" x14ac:dyDescent="0.3">
      <c r="A857" s="716">
        <v>849</v>
      </c>
      <c r="B857" s="762"/>
      <c r="C857" s="745">
        <v>152</v>
      </c>
      <c r="D857" s="746" t="s">
        <v>447</v>
      </c>
      <c r="E857" s="808"/>
      <c r="F857" s="736">
        <v>11695</v>
      </c>
      <c r="G857" s="1369">
        <v>11695</v>
      </c>
      <c r="H857" s="729" t="s">
        <v>24</v>
      </c>
      <c r="I857" s="824"/>
      <c r="J857" s="766"/>
      <c r="K857" s="766"/>
      <c r="L857" s="741"/>
      <c r="M857" s="766"/>
      <c r="N857" s="810"/>
      <c r="P857" s="743"/>
    </row>
    <row r="858" spans="1:16" s="768" customFormat="1" ht="18" customHeight="1" x14ac:dyDescent="0.3">
      <c r="A858" s="716">
        <v>850</v>
      </c>
      <c r="B858" s="762"/>
      <c r="C858" s="745"/>
      <c r="D858" s="1148" t="s">
        <v>245</v>
      </c>
      <c r="E858" s="736"/>
      <c r="F858" s="736"/>
      <c r="G858" s="1369"/>
      <c r="H858" s="738"/>
      <c r="I858" s="739">
        <f>SUM(J858:N858)</f>
        <v>13000</v>
      </c>
      <c r="J858" s="766"/>
      <c r="K858" s="766"/>
      <c r="L858" s="741"/>
      <c r="M858" s="766"/>
      <c r="N858" s="827">
        <v>13000</v>
      </c>
      <c r="P858" s="743"/>
    </row>
    <row r="859" spans="1:16" s="768" customFormat="1" ht="18" customHeight="1" x14ac:dyDescent="0.3">
      <c r="A859" s="716">
        <v>851</v>
      </c>
      <c r="B859" s="762"/>
      <c r="C859" s="745"/>
      <c r="D859" s="1146" t="s">
        <v>810</v>
      </c>
      <c r="E859" s="736"/>
      <c r="F859" s="736"/>
      <c r="G859" s="1369"/>
      <c r="H859" s="729"/>
      <c r="I859" s="1446">
        <f>SUM(J859:N859)</f>
        <v>13000</v>
      </c>
      <c r="J859" s="1105"/>
      <c r="K859" s="1105"/>
      <c r="L859" s="1099"/>
      <c r="M859" s="1105"/>
      <c r="N859" s="1141">
        <v>13000</v>
      </c>
      <c r="P859" s="743"/>
    </row>
    <row r="860" spans="1:16" s="768" customFormat="1" ht="18" customHeight="1" x14ac:dyDescent="0.3">
      <c r="A860" s="716">
        <v>852</v>
      </c>
      <c r="B860" s="762"/>
      <c r="C860" s="745"/>
      <c r="D860" s="910" t="s">
        <v>652</v>
      </c>
      <c r="E860" s="736"/>
      <c r="F860" s="736"/>
      <c r="G860" s="1369"/>
      <c r="H860" s="729"/>
      <c r="I860" s="299">
        <f>SUM(J860:Q860)</f>
        <v>0</v>
      </c>
      <c r="J860" s="766"/>
      <c r="K860" s="766"/>
      <c r="L860" s="776"/>
      <c r="M860" s="766"/>
      <c r="N860" s="1149"/>
      <c r="P860" s="743"/>
    </row>
    <row r="861" spans="1:16" s="768" customFormat="1" ht="18" customHeight="1" x14ac:dyDescent="0.3">
      <c r="A861" s="716">
        <v>853</v>
      </c>
      <c r="B861" s="762"/>
      <c r="C861" s="745"/>
      <c r="D861" s="1146" t="s">
        <v>858</v>
      </c>
      <c r="E861" s="736"/>
      <c r="F861" s="736"/>
      <c r="G861" s="1369"/>
      <c r="H861" s="729"/>
      <c r="I861" s="443">
        <f>SUM(J861:Q861)</f>
        <v>13000</v>
      </c>
      <c r="J861" s="766"/>
      <c r="K861" s="766"/>
      <c r="L861" s="741"/>
      <c r="M861" s="766"/>
      <c r="N861" s="1141">
        <f>SUM(N859:N860)</f>
        <v>13000</v>
      </c>
      <c r="P861" s="743"/>
    </row>
    <row r="862" spans="1:16" s="768" customFormat="1" ht="23.45" customHeight="1" x14ac:dyDescent="0.3">
      <c r="A862" s="716">
        <v>854</v>
      </c>
      <c r="B862" s="762"/>
      <c r="C862" s="745">
        <v>153</v>
      </c>
      <c r="D862" s="746" t="s">
        <v>448</v>
      </c>
      <c r="E862" s="808"/>
      <c r="F862" s="736">
        <v>10000</v>
      </c>
      <c r="G862" s="1369">
        <v>5215</v>
      </c>
      <c r="H862" s="729" t="s">
        <v>24</v>
      </c>
      <c r="I862" s="824"/>
      <c r="J862" s="766"/>
      <c r="K862" s="766"/>
      <c r="L862" s="741"/>
      <c r="M862" s="766"/>
      <c r="N862" s="810"/>
      <c r="P862" s="743"/>
    </row>
    <row r="863" spans="1:16" s="768" customFormat="1" ht="23.45" customHeight="1" x14ac:dyDescent="0.3">
      <c r="A863" s="716">
        <v>855</v>
      </c>
      <c r="B863" s="762"/>
      <c r="C863" s="745">
        <v>154</v>
      </c>
      <c r="D863" s="746" t="s">
        <v>449</v>
      </c>
      <c r="E863" s="808"/>
      <c r="F863" s="736">
        <v>1700</v>
      </c>
      <c r="G863" s="1369"/>
      <c r="H863" s="729" t="s">
        <v>24</v>
      </c>
      <c r="I863" s="824"/>
      <c r="J863" s="766"/>
      <c r="K863" s="766"/>
      <c r="L863" s="741"/>
      <c r="M863" s="766"/>
      <c r="N863" s="810"/>
      <c r="P863" s="743"/>
    </row>
    <row r="864" spans="1:16" s="768" customFormat="1" ht="23.45" customHeight="1" x14ac:dyDescent="0.3">
      <c r="A864" s="716">
        <v>856</v>
      </c>
      <c r="B864" s="762"/>
      <c r="C864" s="745">
        <v>155</v>
      </c>
      <c r="D864" s="746" t="s">
        <v>450</v>
      </c>
      <c r="E864" s="808"/>
      <c r="F864" s="736">
        <v>500</v>
      </c>
      <c r="G864" s="1369">
        <v>466</v>
      </c>
      <c r="H864" s="834" t="s">
        <v>24</v>
      </c>
      <c r="I864" s="824"/>
      <c r="J864" s="766"/>
      <c r="K864" s="766"/>
      <c r="L864" s="741"/>
      <c r="M864" s="766"/>
      <c r="N864" s="810"/>
      <c r="P864" s="743"/>
    </row>
    <row r="865" spans="1:16" s="768" customFormat="1" ht="30" x14ac:dyDescent="0.3">
      <c r="A865" s="716">
        <v>857</v>
      </c>
      <c r="B865" s="762"/>
      <c r="C865" s="763">
        <v>156</v>
      </c>
      <c r="D865" s="835" t="s">
        <v>451</v>
      </c>
      <c r="E865" s="808"/>
      <c r="F865" s="736">
        <v>22300</v>
      </c>
      <c r="G865" s="1369"/>
      <c r="H865" s="836" t="s">
        <v>24</v>
      </c>
      <c r="I865" s="824"/>
      <c r="J865" s="766"/>
      <c r="K865" s="766"/>
      <c r="L865" s="741"/>
      <c r="M865" s="766"/>
      <c r="N865" s="810"/>
      <c r="P865" s="743"/>
    </row>
    <row r="866" spans="1:16" s="768" customFormat="1" ht="18" customHeight="1" x14ac:dyDescent="0.3">
      <c r="A866" s="716">
        <v>858</v>
      </c>
      <c r="B866" s="762"/>
      <c r="C866" s="763"/>
      <c r="D866" s="581" t="s">
        <v>245</v>
      </c>
      <c r="E866" s="808"/>
      <c r="F866" s="736"/>
      <c r="G866" s="1369"/>
      <c r="H866" s="811"/>
      <c r="I866" s="824">
        <f>SUM(J866:N866)</f>
        <v>91666</v>
      </c>
      <c r="J866" s="766"/>
      <c r="K866" s="766"/>
      <c r="L866" s="741">
        <f>69366+22300</f>
        <v>91666</v>
      </c>
      <c r="M866" s="766"/>
      <c r="N866" s="810"/>
      <c r="P866" s="743"/>
    </row>
    <row r="867" spans="1:16" s="768" customFormat="1" ht="18" customHeight="1" x14ac:dyDescent="0.3">
      <c r="A867" s="716">
        <v>859</v>
      </c>
      <c r="B867" s="762"/>
      <c r="C867" s="763"/>
      <c r="D867" s="1146" t="s">
        <v>810</v>
      </c>
      <c r="E867" s="808"/>
      <c r="F867" s="736"/>
      <c r="G867" s="1369"/>
      <c r="H867" s="1126"/>
      <c r="I867" s="1445">
        <f>SUM(J867:N867)</f>
        <v>91666</v>
      </c>
      <c r="J867" s="1105"/>
      <c r="K867" s="1105"/>
      <c r="L867" s="1099">
        <v>91666</v>
      </c>
      <c r="M867" s="766"/>
      <c r="N867" s="810"/>
      <c r="P867" s="743"/>
    </row>
    <row r="868" spans="1:16" s="768" customFormat="1" ht="18" customHeight="1" x14ac:dyDescent="0.3">
      <c r="A868" s="716">
        <v>860</v>
      </c>
      <c r="B868" s="762"/>
      <c r="C868" s="763"/>
      <c r="D868" s="910" t="s">
        <v>652</v>
      </c>
      <c r="E868" s="736"/>
      <c r="F868" s="736"/>
      <c r="G868" s="1369"/>
      <c r="H868" s="1126"/>
      <c r="I868" s="299">
        <f>SUM(J868:Q868)</f>
        <v>0</v>
      </c>
      <c r="J868" s="766"/>
      <c r="K868" s="766"/>
      <c r="L868" s="776"/>
      <c r="M868" s="766"/>
      <c r="N868" s="810"/>
      <c r="P868" s="743"/>
    </row>
    <row r="869" spans="1:16" s="768" customFormat="1" ht="18" customHeight="1" x14ac:dyDescent="0.3">
      <c r="A869" s="716">
        <v>861</v>
      </c>
      <c r="B869" s="762"/>
      <c r="C869" s="763"/>
      <c r="D869" s="1146" t="s">
        <v>858</v>
      </c>
      <c r="E869" s="736"/>
      <c r="F869" s="736"/>
      <c r="G869" s="1369"/>
      <c r="H869" s="1126"/>
      <c r="I869" s="443">
        <f>SUM(J869:Q869)</f>
        <v>91666</v>
      </c>
      <c r="J869" s="766"/>
      <c r="K869" s="766"/>
      <c r="L869" s="1099">
        <f>SUM(L867:L868)</f>
        <v>91666</v>
      </c>
      <c r="M869" s="766"/>
      <c r="N869" s="810"/>
      <c r="P869" s="743"/>
    </row>
    <row r="870" spans="1:16" s="768" customFormat="1" ht="23.45" customHeight="1" x14ac:dyDescent="0.3">
      <c r="A870" s="716">
        <v>862</v>
      </c>
      <c r="B870" s="762"/>
      <c r="C870" s="745">
        <v>157</v>
      </c>
      <c r="D870" s="835" t="s">
        <v>495</v>
      </c>
      <c r="E870" s="808"/>
      <c r="F870" s="736">
        <v>500</v>
      </c>
      <c r="G870" s="1369">
        <v>900</v>
      </c>
      <c r="H870" s="729" t="s">
        <v>24</v>
      </c>
      <c r="I870" s="739"/>
      <c r="J870" s="766"/>
      <c r="K870" s="766"/>
      <c r="L870" s="741"/>
      <c r="M870" s="766"/>
      <c r="N870" s="810"/>
      <c r="P870" s="743"/>
    </row>
    <row r="871" spans="1:16" s="768" customFormat="1" ht="18" customHeight="1" x14ac:dyDescent="0.3">
      <c r="A871" s="716">
        <v>863</v>
      </c>
      <c r="B871" s="762"/>
      <c r="C871" s="745"/>
      <c r="D871" s="581" t="s">
        <v>245</v>
      </c>
      <c r="E871" s="808"/>
      <c r="F871" s="736"/>
      <c r="G871" s="1369"/>
      <c r="H871" s="811"/>
      <c r="I871" s="824">
        <f>SUM(J871:N871)</f>
        <v>1500</v>
      </c>
      <c r="J871" s="766"/>
      <c r="K871" s="766"/>
      <c r="L871" s="741"/>
      <c r="M871" s="766"/>
      <c r="N871" s="827">
        <v>1500</v>
      </c>
      <c r="P871" s="743"/>
    </row>
    <row r="872" spans="1:16" s="768" customFormat="1" ht="18" customHeight="1" x14ac:dyDescent="0.3">
      <c r="A872" s="716">
        <v>864</v>
      </c>
      <c r="B872" s="762"/>
      <c r="C872" s="745"/>
      <c r="D872" s="1146" t="s">
        <v>810</v>
      </c>
      <c r="E872" s="808"/>
      <c r="F872" s="736"/>
      <c r="G872" s="1369"/>
      <c r="H872" s="1126"/>
      <c r="I872" s="1445">
        <f>SUM(J872:N872)</f>
        <v>1500</v>
      </c>
      <c r="J872" s="1105"/>
      <c r="K872" s="1105"/>
      <c r="L872" s="1099"/>
      <c r="M872" s="1105"/>
      <c r="N872" s="1141">
        <v>1500</v>
      </c>
      <c r="P872" s="743"/>
    </row>
    <row r="873" spans="1:16" s="768" customFormat="1" ht="18" customHeight="1" x14ac:dyDescent="0.3">
      <c r="A873" s="716">
        <v>865</v>
      </c>
      <c r="B873" s="762"/>
      <c r="C873" s="745"/>
      <c r="D873" s="910" t="s">
        <v>652</v>
      </c>
      <c r="E873" s="808"/>
      <c r="F873" s="736"/>
      <c r="G873" s="1369"/>
      <c r="H873" s="1126"/>
      <c r="I873" s="299">
        <f>SUM(J873:Q873)</f>
        <v>0</v>
      </c>
      <c r="J873" s="1105"/>
      <c r="K873" s="1105"/>
      <c r="L873" s="1106"/>
      <c r="M873" s="1105"/>
      <c r="N873" s="1124"/>
      <c r="P873" s="743"/>
    </row>
    <row r="874" spans="1:16" s="768" customFormat="1" ht="18" customHeight="1" x14ac:dyDescent="0.3">
      <c r="A874" s="716">
        <v>866</v>
      </c>
      <c r="B874" s="762"/>
      <c r="C874" s="745"/>
      <c r="D874" s="1146" t="s">
        <v>858</v>
      </c>
      <c r="E874" s="808"/>
      <c r="F874" s="736"/>
      <c r="G874" s="1369"/>
      <c r="H874" s="1126"/>
      <c r="I874" s="443">
        <f>SUM(J874:Q874)</f>
        <v>1500</v>
      </c>
      <c r="J874" s="766"/>
      <c r="K874" s="766"/>
      <c r="L874" s="741"/>
      <c r="M874" s="766"/>
      <c r="N874" s="1141">
        <f>SUM(N872:N873)</f>
        <v>1500</v>
      </c>
      <c r="P874" s="743"/>
    </row>
    <row r="875" spans="1:16" s="768" customFormat="1" ht="23.45" customHeight="1" x14ac:dyDescent="0.3">
      <c r="A875" s="716">
        <v>867</v>
      </c>
      <c r="B875" s="762"/>
      <c r="C875" s="745">
        <v>158</v>
      </c>
      <c r="D875" s="835" t="s">
        <v>454</v>
      </c>
      <c r="E875" s="808"/>
      <c r="F875" s="736">
        <v>20000</v>
      </c>
      <c r="G875" s="1369">
        <v>20000</v>
      </c>
      <c r="H875" s="834" t="s">
        <v>24</v>
      </c>
      <c r="I875" s="824"/>
      <c r="J875" s="766"/>
      <c r="K875" s="766"/>
      <c r="L875" s="741"/>
      <c r="M875" s="766"/>
      <c r="N875" s="827"/>
      <c r="P875" s="743"/>
    </row>
    <row r="876" spans="1:16" s="768" customFormat="1" ht="18" customHeight="1" x14ac:dyDescent="0.3">
      <c r="A876" s="716">
        <v>868</v>
      </c>
      <c r="B876" s="762"/>
      <c r="C876" s="745"/>
      <c r="D876" s="1146" t="s">
        <v>810</v>
      </c>
      <c r="E876" s="808"/>
      <c r="F876" s="736"/>
      <c r="G876" s="1369"/>
      <c r="H876" s="834"/>
      <c r="I876" s="443">
        <f>SUM(J876:Q876)</f>
        <v>10000</v>
      </c>
      <c r="J876" s="1105"/>
      <c r="K876" s="1105"/>
      <c r="L876" s="1099"/>
      <c r="M876" s="1105"/>
      <c r="N876" s="1141">
        <v>10000</v>
      </c>
      <c r="P876" s="743"/>
    </row>
    <row r="877" spans="1:16" s="768" customFormat="1" ht="18" customHeight="1" x14ac:dyDescent="0.3">
      <c r="A877" s="716">
        <v>869</v>
      </c>
      <c r="B877" s="762"/>
      <c r="C877" s="745"/>
      <c r="D877" s="910" t="s">
        <v>652</v>
      </c>
      <c r="E877" s="808"/>
      <c r="F877" s="736"/>
      <c r="G877" s="1369"/>
      <c r="H877" s="834"/>
      <c r="I877" s="299">
        <f>SUM(J877:Q877)</f>
        <v>0</v>
      </c>
      <c r="J877" s="766"/>
      <c r="K877" s="766"/>
      <c r="L877" s="741"/>
      <c r="M877" s="766"/>
      <c r="N877" s="1149"/>
      <c r="P877" s="743"/>
    </row>
    <row r="878" spans="1:16" s="768" customFormat="1" ht="18" customHeight="1" x14ac:dyDescent="0.3">
      <c r="A878" s="716">
        <v>870</v>
      </c>
      <c r="B878" s="762"/>
      <c r="C878" s="745"/>
      <c r="D878" s="1146" t="s">
        <v>858</v>
      </c>
      <c r="E878" s="808"/>
      <c r="F878" s="736"/>
      <c r="G878" s="1369"/>
      <c r="H878" s="834"/>
      <c r="I878" s="443">
        <f>SUM(J878:Q878)</f>
        <v>10000</v>
      </c>
      <c r="J878" s="766"/>
      <c r="K878" s="766"/>
      <c r="L878" s="741"/>
      <c r="M878" s="766"/>
      <c r="N878" s="1141">
        <f>SUM(N876:N877)</f>
        <v>10000</v>
      </c>
      <c r="P878" s="743"/>
    </row>
    <row r="879" spans="1:16" s="768" customFormat="1" ht="23.45" customHeight="1" x14ac:dyDescent="0.3">
      <c r="A879" s="716">
        <v>871</v>
      </c>
      <c r="B879" s="762"/>
      <c r="C879" s="745">
        <v>159</v>
      </c>
      <c r="D879" s="835" t="s">
        <v>452</v>
      </c>
      <c r="E879" s="808"/>
      <c r="F879" s="736">
        <v>1000</v>
      </c>
      <c r="G879" s="1369">
        <v>1000</v>
      </c>
      <c r="H879" s="834" t="s">
        <v>24</v>
      </c>
      <c r="I879" s="824"/>
      <c r="J879" s="766"/>
      <c r="K879" s="766"/>
      <c r="L879" s="741"/>
      <c r="M879" s="766"/>
      <c r="N879" s="827"/>
      <c r="P879" s="743"/>
    </row>
    <row r="880" spans="1:16" s="768" customFormat="1" ht="23.45" customHeight="1" x14ac:dyDescent="0.3">
      <c r="A880" s="716">
        <v>872</v>
      </c>
      <c r="B880" s="762"/>
      <c r="C880" s="745">
        <v>160</v>
      </c>
      <c r="D880" s="835" t="s">
        <v>453</v>
      </c>
      <c r="E880" s="808"/>
      <c r="F880" s="736">
        <v>350</v>
      </c>
      <c r="G880" s="1369"/>
      <c r="H880" s="834" t="s">
        <v>24</v>
      </c>
      <c r="I880" s="824"/>
      <c r="J880" s="766"/>
      <c r="K880" s="766"/>
      <c r="L880" s="741"/>
      <c r="M880" s="766"/>
      <c r="N880" s="827"/>
      <c r="P880" s="743"/>
    </row>
    <row r="881" spans="1:16" s="768" customFormat="1" ht="23.45" customHeight="1" x14ac:dyDescent="0.3">
      <c r="A881" s="716">
        <v>873</v>
      </c>
      <c r="B881" s="762"/>
      <c r="C881" s="745">
        <v>161</v>
      </c>
      <c r="D881" s="746" t="s">
        <v>510</v>
      </c>
      <c r="E881" s="808"/>
      <c r="F881" s="736">
        <v>5000</v>
      </c>
      <c r="G881" s="1369">
        <v>5000</v>
      </c>
      <c r="H881" s="811" t="s">
        <v>24</v>
      </c>
      <c r="I881" s="824"/>
      <c r="J881" s="825"/>
      <c r="K881" s="825"/>
      <c r="L881" s="826"/>
      <c r="M881" s="825"/>
      <c r="N881" s="827"/>
      <c r="P881" s="743"/>
    </row>
    <row r="882" spans="1:16" s="768" customFormat="1" ht="18" customHeight="1" x14ac:dyDescent="0.3">
      <c r="A882" s="716">
        <v>874</v>
      </c>
      <c r="B882" s="762"/>
      <c r="C882" s="745"/>
      <c r="D882" s="581" t="s">
        <v>245</v>
      </c>
      <c r="E882" s="808"/>
      <c r="F882" s="736"/>
      <c r="G882" s="1369"/>
      <c r="H882" s="811"/>
      <c r="I882" s="824">
        <f>SUM(J882:N882)</f>
        <v>5000</v>
      </c>
      <c r="J882" s="825"/>
      <c r="K882" s="825"/>
      <c r="L882" s="826"/>
      <c r="M882" s="825"/>
      <c r="N882" s="827">
        <v>5000</v>
      </c>
      <c r="P882" s="743"/>
    </row>
    <row r="883" spans="1:16" s="768" customFormat="1" ht="18" customHeight="1" x14ac:dyDescent="0.3">
      <c r="A883" s="716">
        <v>875</v>
      </c>
      <c r="B883" s="762"/>
      <c r="C883" s="745"/>
      <c r="D883" s="1146" t="s">
        <v>810</v>
      </c>
      <c r="E883" s="808"/>
      <c r="F883" s="736"/>
      <c r="G883" s="1369"/>
      <c r="H883" s="811"/>
      <c r="I883" s="1445">
        <f>SUM(J883:N883)</f>
        <v>5000</v>
      </c>
      <c r="J883" s="1140"/>
      <c r="K883" s="1140"/>
      <c r="L883" s="1139"/>
      <c r="M883" s="1140"/>
      <c r="N883" s="1141">
        <v>5000</v>
      </c>
      <c r="P883" s="743"/>
    </row>
    <row r="884" spans="1:16" s="768" customFormat="1" ht="18" customHeight="1" x14ac:dyDescent="0.3">
      <c r="A884" s="716">
        <v>876</v>
      </c>
      <c r="B884" s="762"/>
      <c r="C884" s="745"/>
      <c r="D884" s="910" t="s">
        <v>652</v>
      </c>
      <c r="E884" s="808"/>
      <c r="F884" s="736"/>
      <c r="G884" s="1369"/>
      <c r="H884" s="811"/>
      <c r="I884" s="296">
        <f>SUM(J884:Q884)</f>
        <v>0</v>
      </c>
      <c r="J884" s="825"/>
      <c r="K884" s="825"/>
      <c r="L884" s="826"/>
      <c r="M884" s="825"/>
      <c r="N884" s="827"/>
      <c r="P884" s="743"/>
    </row>
    <row r="885" spans="1:16" s="768" customFormat="1" ht="18" customHeight="1" x14ac:dyDescent="0.3">
      <c r="A885" s="716">
        <v>877</v>
      </c>
      <c r="B885" s="762"/>
      <c r="C885" s="745"/>
      <c r="D885" s="1146" t="s">
        <v>858</v>
      </c>
      <c r="E885" s="808"/>
      <c r="F885" s="736"/>
      <c r="G885" s="1369"/>
      <c r="H885" s="811"/>
      <c r="I885" s="443">
        <f>SUM(J885:Q885)</f>
        <v>5000</v>
      </c>
      <c r="J885" s="825"/>
      <c r="K885" s="825"/>
      <c r="L885" s="826"/>
      <c r="M885" s="825"/>
      <c r="N885" s="1141">
        <f>SUM(N883:N884)</f>
        <v>5000</v>
      </c>
      <c r="P885" s="743"/>
    </row>
    <row r="886" spans="1:16" s="768" customFormat="1" ht="23.45" customHeight="1" x14ac:dyDescent="0.3">
      <c r="A886" s="716">
        <v>878</v>
      </c>
      <c r="B886" s="762"/>
      <c r="C886" s="745">
        <v>163</v>
      </c>
      <c r="D886" s="746" t="s">
        <v>622</v>
      </c>
      <c r="E886" s="808"/>
      <c r="F886" s="736"/>
      <c r="G886" s="1369">
        <v>1021</v>
      </c>
      <c r="H886" s="811" t="s">
        <v>24</v>
      </c>
      <c r="I886" s="824"/>
      <c r="J886" s="825"/>
      <c r="K886" s="825"/>
      <c r="L886" s="826"/>
      <c r="M886" s="825"/>
      <c r="N886" s="827"/>
      <c r="P886" s="743"/>
    </row>
    <row r="887" spans="1:16" s="768" customFormat="1" ht="23.45" customHeight="1" x14ac:dyDescent="0.3">
      <c r="A887" s="716">
        <v>879</v>
      </c>
      <c r="B887" s="762"/>
      <c r="C887" s="745">
        <v>164</v>
      </c>
      <c r="D887" s="746" t="s">
        <v>584</v>
      </c>
      <c r="E887" s="808"/>
      <c r="F887" s="736"/>
      <c r="G887" s="1369">
        <v>18999</v>
      </c>
      <c r="H887" s="811" t="s">
        <v>24</v>
      </c>
      <c r="I887" s="824"/>
      <c r="J887" s="825"/>
      <c r="K887" s="825"/>
      <c r="L887" s="826"/>
      <c r="M887" s="825"/>
      <c r="N887" s="827"/>
      <c r="P887" s="743"/>
    </row>
    <row r="888" spans="1:16" s="768" customFormat="1" ht="23.45" customHeight="1" x14ac:dyDescent="0.3">
      <c r="A888" s="716">
        <v>880</v>
      </c>
      <c r="B888" s="762"/>
      <c r="C888" s="745">
        <v>165</v>
      </c>
      <c r="D888" s="746" t="s">
        <v>585</v>
      </c>
      <c r="E888" s="808"/>
      <c r="F888" s="736"/>
      <c r="G888" s="1369">
        <v>2500</v>
      </c>
      <c r="H888" s="811" t="s">
        <v>24</v>
      </c>
      <c r="I888" s="824"/>
      <c r="J888" s="825"/>
      <c r="K888" s="825"/>
      <c r="L888" s="826"/>
      <c r="M888" s="825"/>
      <c r="N888" s="827"/>
      <c r="P888" s="743"/>
    </row>
    <row r="889" spans="1:16" s="768" customFormat="1" ht="23.45" customHeight="1" x14ac:dyDescent="0.3">
      <c r="A889" s="716">
        <v>881</v>
      </c>
      <c r="B889" s="762"/>
      <c r="C889" s="745">
        <v>166</v>
      </c>
      <c r="D889" s="837" t="s">
        <v>570</v>
      </c>
      <c r="E889" s="737"/>
      <c r="F889" s="736"/>
      <c r="G889" s="1369"/>
      <c r="H889" s="811" t="s">
        <v>24</v>
      </c>
      <c r="I889" s="824"/>
      <c r="J889" s="825"/>
      <c r="K889" s="825"/>
      <c r="L889" s="826"/>
      <c r="M889" s="825"/>
      <c r="N889" s="827"/>
      <c r="P889" s="743"/>
    </row>
    <row r="890" spans="1:16" s="768" customFormat="1" ht="18" customHeight="1" x14ac:dyDescent="0.3">
      <c r="A890" s="716">
        <v>882</v>
      </c>
      <c r="B890" s="762"/>
      <c r="C890" s="745"/>
      <c r="D890" s="828" t="s">
        <v>245</v>
      </c>
      <c r="E890" s="737"/>
      <c r="F890" s="736"/>
      <c r="G890" s="1369"/>
      <c r="H890" s="811"/>
      <c r="I890" s="824">
        <f>SUM(J890:N890)</f>
        <v>2000</v>
      </c>
      <c r="J890" s="825"/>
      <c r="K890" s="825"/>
      <c r="L890" s="826"/>
      <c r="M890" s="825"/>
      <c r="N890" s="827">
        <v>2000</v>
      </c>
      <c r="P890" s="743"/>
    </row>
    <row r="891" spans="1:16" s="768" customFormat="1" ht="18" customHeight="1" x14ac:dyDescent="0.3">
      <c r="A891" s="716">
        <v>883</v>
      </c>
      <c r="B891" s="762"/>
      <c r="C891" s="745"/>
      <c r="D891" s="1146" t="s">
        <v>810</v>
      </c>
      <c r="E891" s="737"/>
      <c r="F891" s="736"/>
      <c r="G891" s="1369"/>
      <c r="H891" s="811"/>
      <c r="I891" s="1445">
        <f>SUM(J891:N891)</f>
        <v>2000</v>
      </c>
      <c r="J891" s="1140"/>
      <c r="K891" s="1140"/>
      <c r="L891" s="1139"/>
      <c r="M891" s="1140"/>
      <c r="N891" s="1141">
        <v>2000</v>
      </c>
      <c r="P891" s="743"/>
    </row>
    <row r="892" spans="1:16" s="768" customFormat="1" ht="18" customHeight="1" x14ac:dyDescent="0.3">
      <c r="A892" s="716">
        <v>884</v>
      </c>
      <c r="B892" s="762"/>
      <c r="C892" s="745"/>
      <c r="D892" s="910" t="s">
        <v>652</v>
      </c>
      <c r="E892" s="737"/>
      <c r="F892" s="736"/>
      <c r="G892" s="1369"/>
      <c r="H892" s="811"/>
      <c r="I892" s="299">
        <f>SUM(J892:Q892)</f>
        <v>0</v>
      </c>
      <c r="J892" s="1140"/>
      <c r="K892" s="1140"/>
      <c r="L892" s="1143"/>
      <c r="M892" s="1140"/>
      <c r="N892" s="1124"/>
      <c r="P892" s="743"/>
    </row>
    <row r="893" spans="1:16" s="768" customFormat="1" ht="18" customHeight="1" x14ac:dyDescent="0.3">
      <c r="A893" s="716">
        <v>885</v>
      </c>
      <c r="B893" s="762"/>
      <c r="C893" s="745"/>
      <c r="D893" s="1146" t="s">
        <v>858</v>
      </c>
      <c r="E893" s="737"/>
      <c r="F893" s="736"/>
      <c r="G893" s="1369"/>
      <c r="H893" s="811"/>
      <c r="I893" s="443">
        <f>SUM(J893:Q893)</f>
        <v>2000</v>
      </c>
      <c r="J893" s="825"/>
      <c r="K893" s="825"/>
      <c r="L893" s="826"/>
      <c r="M893" s="825"/>
      <c r="N893" s="1141">
        <f>SUM(N891:N892)</f>
        <v>2000</v>
      </c>
      <c r="P893" s="743"/>
    </row>
    <row r="894" spans="1:16" s="768" customFormat="1" ht="23.45" customHeight="1" x14ac:dyDescent="0.3">
      <c r="A894" s="716">
        <v>886</v>
      </c>
      <c r="B894" s="762"/>
      <c r="C894" s="745">
        <v>167</v>
      </c>
      <c r="D894" s="837" t="s">
        <v>586</v>
      </c>
      <c r="E894" s="737"/>
      <c r="F894" s="736"/>
      <c r="G894" s="1369">
        <v>4000</v>
      </c>
      <c r="H894" s="811" t="s">
        <v>24</v>
      </c>
      <c r="I894" s="824"/>
      <c r="J894" s="825"/>
      <c r="K894" s="825"/>
      <c r="L894" s="826"/>
      <c r="M894" s="825"/>
      <c r="N894" s="827"/>
      <c r="P894" s="743"/>
    </row>
    <row r="895" spans="1:16" s="768" customFormat="1" ht="23.45" customHeight="1" x14ac:dyDescent="0.3">
      <c r="A895" s="716">
        <v>887</v>
      </c>
      <c r="B895" s="762"/>
      <c r="C895" s="745">
        <v>168</v>
      </c>
      <c r="D895" s="837" t="s">
        <v>572</v>
      </c>
      <c r="E895" s="737"/>
      <c r="F895" s="736"/>
      <c r="G895" s="1369"/>
      <c r="H895" s="811" t="s">
        <v>24</v>
      </c>
      <c r="I895" s="824"/>
      <c r="J895" s="825"/>
      <c r="K895" s="825"/>
      <c r="L895" s="826"/>
      <c r="M895" s="825"/>
      <c r="N895" s="827"/>
      <c r="P895" s="743"/>
    </row>
    <row r="896" spans="1:16" s="768" customFormat="1" ht="18" customHeight="1" x14ac:dyDescent="0.3">
      <c r="A896" s="716">
        <v>888</v>
      </c>
      <c r="B896" s="762"/>
      <c r="C896" s="745"/>
      <c r="D896" s="828" t="s">
        <v>245</v>
      </c>
      <c r="E896" s="737"/>
      <c r="F896" s="736"/>
      <c r="G896" s="1369"/>
      <c r="H896" s="811"/>
      <c r="I896" s="824">
        <f>SUM(J896:N896)</f>
        <v>6000</v>
      </c>
      <c r="J896" s="825"/>
      <c r="K896" s="825"/>
      <c r="L896" s="826">
        <v>6000</v>
      </c>
      <c r="M896" s="825"/>
      <c r="N896" s="827"/>
      <c r="P896" s="743"/>
    </row>
    <row r="897" spans="1:16" s="768" customFormat="1" ht="18" customHeight="1" x14ac:dyDescent="0.3">
      <c r="A897" s="716">
        <v>889</v>
      </c>
      <c r="B897" s="762"/>
      <c r="C897" s="745"/>
      <c r="D897" s="1146" t="s">
        <v>810</v>
      </c>
      <c r="E897" s="737"/>
      <c r="F897" s="736"/>
      <c r="G897" s="1369"/>
      <c r="H897" s="811"/>
      <c r="I897" s="1445">
        <f>SUM(J897:N897)</f>
        <v>6000</v>
      </c>
      <c r="J897" s="1140"/>
      <c r="K897" s="1140"/>
      <c r="L897" s="1139">
        <v>6000</v>
      </c>
      <c r="M897" s="825"/>
      <c r="N897" s="827"/>
      <c r="P897" s="743"/>
    </row>
    <row r="898" spans="1:16" s="768" customFormat="1" ht="18" customHeight="1" x14ac:dyDescent="0.3">
      <c r="A898" s="716">
        <v>890</v>
      </c>
      <c r="B898" s="762"/>
      <c r="C898" s="745"/>
      <c r="D898" s="910" t="s">
        <v>652</v>
      </c>
      <c r="E898" s="737"/>
      <c r="F898" s="736"/>
      <c r="G898" s="1369"/>
      <c r="H898" s="811"/>
      <c r="I898" s="299">
        <f>SUM(J898:Q898)</f>
        <v>0</v>
      </c>
      <c r="J898" s="1140"/>
      <c r="K898" s="1140"/>
      <c r="L898" s="1143"/>
      <c r="M898" s="1140"/>
      <c r="N898" s="1124"/>
      <c r="P898" s="743"/>
    </row>
    <row r="899" spans="1:16" s="768" customFormat="1" ht="18" customHeight="1" x14ac:dyDescent="0.3">
      <c r="A899" s="716">
        <v>891</v>
      </c>
      <c r="B899" s="762"/>
      <c r="C899" s="745"/>
      <c r="D899" s="1146" t="s">
        <v>858</v>
      </c>
      <c r="E899" s="737"/>
      <c r="F899" s="736"/>
      <c r="G899" s="1369"/>
      <c r="H899" s="811"/>
      <c r="I899" s="443">
        <f>SUM(J899:Q899)</f>
        <v>6000</v>
      </c>
      <c r="J899" s="825"/>
      <c r="K899" s="825"/>
      <c r="L899" s="1139">
        <f>SUM(L897:L898)</f>
        <v>6000</v>
      </c>
      <c r="M899" s="825"/>
      <c r="N899" s="827"/>
      <c r="P899" s="743"/>
    </row>
    <row r="900" spans="1:16" s="768" customFormat="1" ht="23.45" customHeight="1" x14ac:dyDescent="0.3">
      <c r="A900" s="716">
        <v>892</v>
      </c>
      <c r="B900" s="762"/>
      <c r="C900" s="745">
        <v>169</v>
      </c>
      <c r="D900" s="837" t="s">
        <v>623</v>
      </c>
      <c r="E900" s="737"/>
      <c r="F900" s="736"/>
      <c r="G900" s="1369">
        <v>248</v>
      </c>
      <c r="H900" s="811" t="s">
        <v>24</v>
      </c>
      <c r="I900" s="824"/>
      <c r="J900" s="825"/>
      <c r="K900" s="825"/>
      <c r="L900" s="826"/>
      <c r="M900" s="825"/>
      <c r="N900" s="827"/>
      <c r="P900" s="743"/>
    </row>
    <row r="901" spans="1:16" s="768" customFormat="1" ht="23.45" customHeight="1" x14ac:dyDescent="0.3">
      <c r="A901" s="716">
        <v>893</v>
      </c>
      <c r="B901" s="762"/>
      <c r="C901" s="745">
        <v>170</v>
      </c>
      <c r="D901" s="837" t="s">
        <v>587</v>
      </c>
      <c r="E901" s="737"/>
      <c r="F901" s="736"/>
      <c r="G901" s="1369">
        <v>1000</v>
      </c>
      <c r="H901" s="811" t="s">
        <v>24</v>
      </c>
      <c r="I901" s="824"/>
      <c r="J901" s="825"/>
      <c r="K901" s="825"/>
      <c r="L901" s="826"/>
      <c r="M901" s="825"/>
      <c r="N901" s="827"/>
      <c r="P901" s="743"/>
    </row>
    <row r="902" spans="1:16" s="768" customFormat="1" ht="23.45" customHeight="1" x14ac:dyDescent="0.3">
      <c r="A902" s="716">
        <v>894</v>
      </c>
      <c r="B902" s="762"/>
      <c r="C902" s="745">
        <v>171</v>
      </c>
      <c r="D902" s="837" t="s">
        <v>588</v>
      </c>
      <c r="E902" s="737"/>
      <c r="F902" s="736"/>
      <c r="G902" s="1369">
        <v>1500</v>
      </c>
      <c r="H902" s="811" t="s">
        <v>24</v>
      </c>
      <c r="I902" s="824"/>
      <c r="J902" s="825"/>
      <c r="K902" s="825"/>
      <c r="L902" s="826"/>
      <c r="M902" s="825"/>
      <c r="N902" s="827"/>
      <c r="P902" s="743"/>
    </row>
    <row r="903" spans="1:16" s="768" customFormat="1" ht="18" customHeight="1" x14ac:dyDescent="0.3">
      <c r="A903" s="716">
        <v>895</v>
      </c>
      <c r="B903" s="762"/>
      <c r="C903" s="745"/>
      <c r="D903" s="1146" t="s">
        <v>810</v>
      </c>
      <c r="E903" s="737"/>
      <c r="F903" s="736"/>
      <c r="G903" s="1369"/>
      <c r="H903" s="811"/>
      <c r="I903" s="443">
        <f>SUM(J903:Q903)</f>
        <v>1500</v>
      </c>
      <c r="J903" s="825"/>
      <c r="K903" s="825"/>
      <c r="L903" s="826"/>
      <c r="M903" s="825"/>
      <c r="N903" s="1141">
        <v>1500</v>
      </c>
      <c r="P903" s="743"/>
    </row>
    <row r="904" spans="1:16" s="768" customFormat="1" ht="18" customHeight="1" x14ac:dyDescent="0.3">
      <c r="A904" s="716">
        <v>896</v>
      </c>
      <c r="B904" s="762"/>
      <c r="C904" s="745"/>
      <c r="D904" s="910" t="s">
        <v>652</v>
      </c>
      <c r="E904" s="737"/>
      <c r="F904" s="736"/>
      <c r="G904" s="1369"/>
      <c r="H904" s="811"/>
      <c r="I904" s="299">
        <f>SUM(J904:Q904)</f>
        <v>0</v>
      </c>
      <c r="J904" s="825"/>
      <c r="K904" s="825"/>
      <c r="L904" s="826"/>
      <c r="M904" s="825"/>
      <c r="N904" s="1149"/>
      <c r="P904" s="743"/>
    </row>
    <row r="905" spans="1:16" s="768" customFormat="1" ht="18" customHeight="1" x14ac:dyDescent="0.3">
      <c r="A905" s="716">
        <v>897</v>
      </c>
      <c r="B905" s="762"/>
      <c r="C905" s="745"/>
      <c r="D905" s="1146" t="s">
        <v>858</v>
      </c>
      <c r="E905" s="737"/>
      <c r="F905" s="736"/>
      <c r="G905" s="1369"/>
      <c r="H905" s="811"/>
      <c r="I905" s="443">
        <f>SUM(J905:Q905)</f>
        <v>1500</v>
      </c>
      <c r="J905" s="825"/>
      <c r="K905" s="825"/>
      <c r="L905" s="826"/>
      <c r="M905" s="825"/>
      <c r="N905" s="1141">
        <f>SUM(N903:N904)</f>
        <v>1500</v>
      </c>
      <c r="P905" s="743"/>
    </row>
    <row r="906" spans="1:16" s="768" customFormat="1" ht="23.45" customHeight="1" x14ac:dyDescent="0.3">
      <c r="A906" s="716">
        <v>898</v>
      </c>
      <c r="B906" s="762"/>
      <c r="C906" s="745">
        <v>172</v>
      </c>
      <c r="D906" s="823" t="s">
        <v>565</v>
      </c>
      <c r="E906" s="737"/>
      <c r="F906" s="736"/>
      <c r="G906" s="1369">
        <v>4000</v>
      </c>
      <c r="H906" s="811" t="s">
        <v>24</v>
      </c>
      <c r="I906" s="824"/>
      <c r="J906" s="825"/>
      <c r="K906" s="825"/>
      <c r="L906" s="826"/>
      <c r="M906" s="825"/>
      <c r="N906" s="827"/>
      <c r="P906" s="743"/>
    </row>
    <row r="907" spans="1:16" s="768" customFormat="1" ht="18" customHeight="1" x14ac:dyDescent="0.3">
      <c r="A907" s="716">
        <v>899</v>
      </c>
      <c r="B907" s="762"/>
      <c r="C907" s="745"/>
      <c r="D907" s="828" t="s">
        <v>245</v>
      </c>
      <c r="E907" s="737"/>
      <c r="F907" s="736"/>
      <c r="G907" s="1369"/>
      <c r="H907" s="811"/>
      <c r="I907" s="824">
        <f>SUM(J907:N907)</f>
        <v>12000</v>
      </c>
      <c r="J907" s="825"/>
      <c r="K907" s="825"/>
      <c r="L907" s="826">
        <v>12000</v>
      </c>
      <c r="M907" s="825"/>
      <c r="N907" s="827"/>
      <c r="P907" s="743"/>
    </row>
    <row r="908" spans="1:16" s="768" customFormat="1" ht="18" customHeight="1" x14ac:dyDescent="0.3">
      <c r="A908" s="716">
        <v>900</v>
      </c>
      <c r="B908" s="762"/>
      <c r="C908" s="745"/>
      <c r="D908" s="1146" t="s">
        <v>810</v>
      </c>
      <c r="E908" s="737"/>
      <c r="F908" s="736"/>
      <c r="G908" s="1369"/>
      <c r="H908" s="811"/>
      <c r="I908" s="1445">
        <f>SUM(J908:N908)</f>
        <v>0</v>
      </c>
      <c r="J908" s="1140"/>
      <c r="K908" s="1140"/>
      <c r="L908" s="1139">
        <v>0</v>
      </c>
      <c r="M908" s="825"/>
      <c r="N908" s="827"/>
      <c r="P908" s="743"/>
    </row>
    <row r="909" spans="1:16" s="768" customFormat="1" ht="18" customHeight="1" x14ac:dyDescent="0.3">
      <c r="A909" s="716">
        <v>901</v>
      </c>
      <c r="B909" s="762"/>
      <c r="C909" s="745"/>
      <c r="D909" s="910" t="s">
        <v>652</v>
      </c>
      <c r="E909" s="737"/>
      <c r="F909" s="736"/>
      <c r="G909" s="1369"/>
      <c r="H909" s="811"/>
      <c r="I909" s="299">
        <f>SUM(J909:Q909)</f>
        <v>0</v>
      </c>
      <c r="J909" s="1140"/>
      <c r="K909" s="1140"/>
      <c r="L909" s="1140"/>
      <c r="M909" s="1140"/>
      <c r="N909" s="1149"/>
      <c r="P909" s="743"/>
    </row>
    <row r="910" spans="1:16" s="768" customFormat="1" ht="18" customHeight="1" x14ac:dyDescent="0.3">
      <c r="A910" s="716">
        <v>902</v>
      </c>
      <c r="B910" s="762"/>
      <c r="C910" s="745"/>
      <c r="D910" s="1146" t="s">
        <v>858</v>
      </c>
      <c r="E910" s="737"/>
      <c r="F910" s="736"/>
      <c r="G910" s="1369"/>
      <c r="H910" s="811"/>
      <c r="I910" s="443">
        <f>SUM(J910:Q910)</f>
        <v>0</v>
      </c>
      <c r="J910" s="825"/>
      <c r="K910" s="825"/>
      <c r="L910" s="1139">
        <f>SUM(L908:L909)</f>
        <v>0</v>
      </c>
      <c r="M910" s="825"/>
      <c r="N910" s="827"/>
      <c r="P910" s="743"/>
    </row>
    <row r="911" spans="1:16" s="768" customFormat="1" ht="22.5" customHeight="1" x14ac:dyDescent="0.3">
      <c r="A911" s="716">
        <v>903</v>
      </c>
      <c r="B911" s="762"/>
      <c r="C911" s="745">
        <v>172</v>
      </c>
      <c r="D911" s="1146" t="s">
        <v>689</v>
      </c>
      <c r="E911" s="737"/>
      <c r="F911" s="736"/>
      <c r="G911" s="1369"/>
      <c r="H911" s="811" t="s">
        <v>24</v>
      </c>
      <c r="I911" s="443"/>
      <c r="J911" s="825"/>
      <c r="K911" s="825"/>
      <c r="L911" s="1139"/>
      <c r="M911" s="825"/>
      <c r="N911" s="827"/>
      <c r="P911" s="743"/>
    </row>
    <row r="912" spans="1:16" s="768" customFormat="1" ht="18" customHeight="1" x14ac:dyDescent="0.3">
      <c r="A912" s="716">
        <v>904</v>
      </c>
      <c r="B912" s="762"/>
      <c r="C912" s="745"/>
      <c r="D912" s="1146" t="s">
        <v>810</v>
      </c>
      <c r="E912" s="737"/>
      <c r="F912" s="736"/>
      <c r="G912" s="1369"/>
      <c r="H912" s="811"/>
      <c r="I912" s="443">
        <f>SUM(J912:Q912)</f>
        <v>10500</v>
      </c>
      <c r="J912" s="825"/>
      <c r="K912" s="825"/>
      <c r="L912" s="1139"/>
      <c r="M912" s="1143">
        <v>10500</v>
      </c>
      <c r="N912" s="827"/>
      <c r="P912" s="743"/>
    </row>
    <row r="913" spans="1:16" s="768" customFormat="1" ht="18" customHeight="1" x14ac:dyDescent="0.3">
      <c r="A913" s="716">
        <v>905</v>
      </c>
      <c r="B913" s="762"/>
      <c r="C913" s="745"/>
      <c r="D913" s="910" t="s">
        <v>909</v>
      </c>
      <c r="E913" s="737"/>
      <c r="F913" s="736"/>
      <c r="G913" s="1369"/>
      <c r="H913" s="811"/>
      <c r="I913" s="299">
        <f>SUM(J913:Q913)</f>
        <v>-2192</v>
      </c>
      <c r="J913" s="825"/>
      <c r="K913" s="825"/>
      <c r="L913" s="1140"/>
      <c r="M913" s="1140">
        <f>-192-2000</f>
        <v>-2192</v>
      </c>
      <c r="N913" s="827"/>
      <c r="P913" s="743"/>
    </row>
    <row r="914" spans="1:16" s="768" customFormat="1" ht="18" customHeight="1" x14ac:dyDescent="0.3">
      <c r="A914" s="716">
        <v>906</v>
      </c>
      <c r="B914" s="762"/>
      <c r="C914" s="745"/>
      <c r="D914" s="1146" t="s">
        <v>858</v>
      </c>
      <c r="E914" s="737"/>
      <c r="F914" s="736"/>
      <c r="G914" s="1369"/>
      <c r="H914" s="811"/>
      <c r="I914" s="443">
        <f>SUM(J914:Q914)</f>
        <v>8308</v>
      </c>
      <c r="J914" s="825"/>
      <c r="K914" s="825"/>
      <c r="L914" s="1139"/>
      <c r="M914" s="1139">
        <f>SUM(M912:M913)</f>
        <v>8308</v>
      </c>
      <c r="N914" s="827"/>
      <c r="P914" s="743"/>
    </row>
    <row r="915" spans="1:16" s="768" customFormat="1" ht="23.45" customHeight="1" x14ac:dyDescent="0.3">
      <c r="A915" s="716">
        <v>907</v>
      </c>
      <c r="B915" s="762"/>
      <c r="C915" s="745">
        <v>173</v>
      </c>
      <c r="D915" s="823" t="s">
        <v>589</v>
      </c>
      <c r="E915" s="737"/>
      <c r="F915" s="736"/>
      <c r="G915" s="1369">
        <v>2401</v>
      </c>
      <c r="H915" s="811" t="s">
        <v>24</v>
      </c>
      <c r="I915" s="824"/>
      <c r="J915" s="825"/>
      <c r="K915" s="825"/>
      <c r="L915" s="826"/>
      <c r="M915" s="825"/>
      <c r="N915" s="827"/>
      <c r="P915" s="743"/>
    </row>
    <row r="916" spans="1:16" s="768" customFormat="1" ht="23.45" customHeight="1" x14ac:dyDescent="0.3">
      <c r="A916" s="716">
        <v>908</v>
      </c>
      <c r="B916" s="762"/>
      <c r="C916" s="745">
        <v>174</v>
      </c>
      <c r="D916" s="823" t="s">
        <v>590</v>
      </c>
      <c r="E916" s="737"/>
      <c r="F916" s="736"/>
      <c r="G916" s="1369">
        <v>1000</v>
      </c>
      <c r="H916" s="811" t="s">
        <v>24</v>
      </c>
      <c r="I916" s="824"/>
      <c r="J916" s="825"/>
      <c r="K916" s="825"/>
      <c r="L916" s="826"/>
      <c r="M916" s="825"/>
      <c r="N916" s="827"/>
      <c r="P916" s="743"/>
    </row>
    <row r="917" spans="1:16" s="768" customFormat="1" ht="18" customHeight="1" x14ac:dyDescent="0.3">
      <c r="A917" s="716">
        <v>909</v>
      </c>
      <c r="B917" s="762"/>
      <c r="C917" s="745"/>
      <c r="D917" s="1146" t="s">
        <v>810</v>
      </c>
      <c r="E917" s="737"/>
      <c r="F917" s="736"/>
      <c r="G917" s="1369"/>
      <c r="H917" s="811"/>
      <c r="I917" s="443">
        <f>SUM(J917:Q917)</f>
        <v>800</v>
      </c>
      <c r="J917" s="825"/>
      <c r="K917" s="825"/>
      <c r="L917" s="826"/>
      <c r="M917" s="825"/>
      <c r="N917" s="1141">
        <v>800</v>
      </c>
      <c r="P917" s="743"/>
    </row>
    <row r="918" spans="1:16" s="768" customFormat="1" ht="18" customHeight="1" x14ac:dyDescent="0.3">
      <c r="A918" s="716">
        <v>910</v>
      </c>
      <c r="B918" s="762"/>
      <c r="C918" s="745"/>
      <c r="D918" s="910" t="s">
        <v>652</v>
      </c>
      <c r="E918" s="737"/>
      <c r="F918" s="736"/>
      <c r="G918" s="1369"/>
      <c r="H918" s="811"/>
      <c r="I918" s="299">
        <f>SUM(J918:Q918)</f>
        <v>0</v>
      </c>
      <c r="J918" s="825"/>
      <c r="K918" s="825"/>
      <c r="L918" s="826"/>
      <c r="M918" s="825"/>
      <c r="N918" s="1149"/>
      <c r="P918" s="743"/>
    </row>
    <row r="919" spans="1:16" s="768" customFormat="1" ht="18" customHeight="1" x14ac:dyDescent="0.3">
      <c r="A919" s="716">
        <v>911</v>
      </c>
      <c r="B919" s="762"/>
      <c r="C919" s="745"/>
      <c r="D919" s="1146" t="s">
        <v>858</v>
      </c>
      <c r="E919" s="737"/>
      <c r="F919" s="736"/>
      <c r="G919" s="1369"/>
      <c r="H919" s="811"/>
      <c r="I919" s="443">
        <f>SUM(J919:Q919)</f>
        <v>800</v>
      </c>
      <c r="J919" s="825"/>
      <c r="K919" s="825"/>
      <c r="L919" s="826"/>
      <c r="M919" s="825"/>
      <c r="N919" s="1141">
        <f>SUM(N917:N918)</f>
        <v>800</v>
      </c>
      <c r="P919" s="743"/>
    </row>
    <row r="920" spans="1:16" s="768" customFormat="1" ht="23.45" customHeight="1" x14ac:dyDescent="0.3">
      <c r="A920" s="716">
        <v>912</v>
      </c>
      <c r="B920" s="762"/>
      <c r="C920" s="745">
        <v>175</v>
      </c>
      <c r="D920" s="823" t="s">
        <v>731</v>
      </c>
      <c r="E920" s="737"/>
      <c r="F920" s="736"/>
      <c r="G920" s="1369">
        <v>10000</v>
      </c>
      <c r="H920" s="811" t="s">
        <v>24</v>
      </c>
      <c r="I920" s="824"/>
      <c r="J920" s="825"/>
      <c r="K920" s="825"/>
      <c r="L920" s="826"/>
      <c r="M920" s="825"/>
      <c r="N920" s="827"/>
      <c r="P920" s="743"/>
    </row>
    <row r="921" spans="1:16" s="768" customFormat="1" ht="23.45" customHeight="1" x14ac:dyDescent="0.3">
      <c r="A921" s="716">
        <v>913</v>
      </c>
      <c r="B921" s="762"/>
      <c r="C921" s="745">
        <v>176</v>
      </c>
      <c r="D921" s="823" t="s">
        <v>732</v>
      </c>
      <c r="E921" s="737"/>
      <c r="F921" s="736"/>
      <c r="G921" s="1369">
        <v>5035</v>
      </c>
      <c r="H921" s="811" t="s">
        <v>24</v>
      </c>
      <c r="I921" s="824"/>
      <c r="J921" s="825"/>
      <c r="K921" s="825"/>
      <c r="L921" s="826"/>
      <c r="M921" s="825"/>
      <c r="N921" s="827"/>
      <c r="P921" s="743"/>
    </row>
    <row r="922" spans="1:16" s="768" customFormat="1" ht="23.45" customHeight="1" x14ac:dyDescent="0.3">
      <c r="A922" s="716">
        <v>914</v>
      </c>
      <c r="B922" s="762"/>
      <c r="C922" s="745">
        <v>177</v>
      </c>
      <c r="D922" s="837" t="s">
        <v>573</v>
      </c>
      <c r="E922" s="737"/>
      <c r="F922" s="736"/>
      <c r="G922" s="1369"/>
      <c r="H922" s="811" t="s">
        <v>24</v>
      </c>
      <c r="I922" s="824"/>
      <c r="J922" s="825"/>
      <c r="K922" s="825"/>
      <c r="L922" s="826"/>
      <c r="M922" s="825"/>
      <c r="N922" s="827"/>
      <c r="P922" s="743"/>
    </row>
    <row r="923" spans="1:16" s="768" customFormat="1" ht="18" customHeight="1" x14ac:dyDescent="0.3">
      <c r="A923" s="716">
        <v>915</v>
      </c>
      <c r="B923" s="762"/>
      <c r="C923" s="745"/>
      <c r="D923" s="828" t="s">
        <v>245</v>
      </c>
      <c r="E923" s="737"/>
      <c r="F923" s="736"/>
      <c r="G923" s="1369"/>
      <c r="H923" s="811"/>
      <c r="I923" s="824">
        <f>SUM(J923:N923)</f>
        <v>2500</v>
      </c>
      <c r="J923" s="825"/>
      <c r="K923" s="825"/>
      <c r="L923" s="826">
        <v>2500</v>
      </c>
      <c r="M923" s="825"/>
      <c r="N923" s="827"/>
      <c r="P923" s="743"/>
    </row>
    <row r="924" spans="1:16" s="768" customFormat="1" ht="18" customHeight="1" x14ac:dyDescent="0.3">
      <c r="A924" s="716">
        <v>916</v>
      </c>
      <c r="B924" s="762"/>
      <c r="C924" s="745"/>
      <c r="D924" s="1146" t="s">
        <v>810</v>
      </c>
      <c r="E924" s="737"/>
      <c r="F924" s="736"/>
      <c r="G924" s="1369"/>
      <c r="H924" s="811"/>
      <c r="I924" s="1445">
        <f>SUM(J924:N924)</f>
        <v>2500</v>
      </c>
      <c r="J924" s="1140"/>
      <c r="K924" s="1140"/>
      <c r="L924" s="1139">
        <v>2500</v>
      </c>
      <c r="M924" s="825"/>
      <c r="N924" s="827"/>
      <c r="P924" s="743"/>
    </row>
    <row r="925" spans="1:16" s="768" customFormat="1" ht="18" customHeight="1" x14ac:dyDescent="0.3">
      <c r="A925" s="716">
        <v>917</v>
      </c>
      <c r="B925" s="762"/>
      <c r="C925" s="745"/>
      <c r="D925" s="910" t="s">
        <v>897</v>
      </c>
      <c r="E925" s="737"/>
      <c r="F925" s="736"/>
      <c r="G925" s="1369"/>
      <c r="H925" s="811"/>
      <c r="I925" s="299">
        <f>SUM(J925:Q925)</f>
        <v>5000</v>
      </c>
      <c r="J925" s="825"/>
      <c r="K925" s="825"/>
      <c r="L925" s="1140">
        <v>5000</v>
      </c>
      <c r="M925" s="825"/>
      <c r="N925" s="827"/>
      <c r="P925" s="743"/>
    </row>
    <row r="926" spans="1:16" s="768" customFormat="1" ht="18" customHeight="1" x14ac:dyDescent="0.3">
      <c r="A926" s="716">
        <v>918</v>
      </c>
      <c r="B926" s="762"/>
      <c r="C926" s="745"/>
      <c r="D926" s="1146" t="s">
        <v>858</v>
      </c>
      <c r="E926" s="737"/>
      <c r="F926" s="736"/>
      <c r="G926" s="1369"/>
      <c r="H926" s="811"/>
      <c r="I926" s="443">
        <f>SUM(J926:Q926)</f>
        <v>7500</v>
      </c>
      <c r="J926" s="825"/>
      <c r="K926" s="825"/>
      <c r="L926" s="1139">
        <f>SUM(L924:L925)</f>
        <v>7500</v>
      </c>
      <c r="M926" s="825"/>
      <c r="N926" s="827"/>
      <c r="P926" s="743"/>
    </row>
    <row r="927" spans="1:16" s="768" customFormat="1" ht="23.45" customHeight="1" x14ac:dyDescent="0.3">
      <c r="A927" s="716">
        <v>919</v>
      </c>
      <c r="B927" s="762"/>
      <c r="C927" s="745">
        <v>178</v>
      </c>
      <c r="D927" s="837" t="s">
        <v>591</v>
      </c>
      <c r="E927" s="737"/>
      <c r="F927" s="736"/>
      <c r="G927" s="1369">
        <v>200</v>
      </c>
      <c r="H927" s="811" t="s">
        <v>24</v>
      </c>
      <c r="I927" s="824"/>
      <c r="J927" s="825"/>
      <c r="K927" s="825"/>
      <c r="L927" s="826"/>
      <c r="M927" s="825"/>
      <c r="N927" s="827"/>
      <c r="P927" s="743"/>
    </row>
    <row r="928" spans="1:16" s="768" customFormat="1" ht="23.45" customHeight="1" x14ac:dyDescent="0.3">
      <c r="A928" s="716">
        <v>920</v>
      </c>
      <c r="B928" s="762"/>
      <c r="C928" s="745">
        <v>179</v>
      </c>
      <c r="D928" s="837" t="s">
        <v>574</v>
      </c>
      <c r="E928" s="737"/>
      <c r="F928" s="736"/>
      <c r="G928" s="1369"/>
      <c r="H928" s="811" t="s">
        <v>24</v>
      </c>
      <c r="I928" s="824"/>
      <c r="J928" s="825"/>
      <c r="K928" s="825"/>
      <c r="L928" s="826"/>
      <c r="M928" s="825"/>
      <c r="N928" s="827"/>
      <c r="P928" s="743"/>
    </row>
    <row r="929" spans="1:16" s="768" customFormat="1" ht="18" customHeight="1" x14ac:dyDescent="0.3">
      <c r="A929" s="716">
        <v>921</v>
      </c>
      <c r="B929" s="762"/>
      <c r="C929" s="745"/>
      <c r="D929" s="828" t="s">
        <v>245</v>
      </c>
      <c r="E929" s="737"/>
      <c r="F929" s="736"/>
      <c r="G929" s="1369"/>
      <c r="H929" s="811"/>
      <c r="I929" s="824">
        <f>SUM(J929:N929)</f>
        <v>25945</v>
      </c>
      <c r="J929" s="825"/>
      <c r="K929" s="825"/>
      <c r="L929" s="826">
        <v>25945</v>
      </c>
      <c r="M929" s="825"/>
      <c r="N929" s="827"/>
      <c r="P929" s="743"/>
    </row>
    <row r="930" spans="1:16" s="768" customFormat="1" ht="18" customHeight="1" x14ac:dyDescent="0.3">
      <c r="A930" s="716">
        <v>922</v>
      </c>
      <c r="B930" s="762"/>
      <c r="C930" s="745"/>
      <c r="D930" s="1146" t="s">
        <v>810</v>
      </c>
      <c r="E930" s="737"/>
      <c r="F930" s="736"/>
      <c r="G930" s="1369"/>
      <c r="H930" s="811"/>
      <c r="I930" s="1445">
        <f>SUM(J930:N930)</f>
        <v>25945</v>
      </c>
      <c r="J930" s="1140"/>
      <c r="K930" s="1140"/>
      <c r="L930" s="1139">
        <v>25945</v>
      </c>
      <c r="M930" s="1140"/>
      <c r="N930" s="827"/>
      <c r="P930" s="743"/>
    </row>
    <row r="931" spans="1:16" s="768" customFormat="1" ht="18" customHeight="1" x14ac:dyDescent="0.3">
      <c r="A931" s="716">
        <v>923</v>
      </c>
      <c r="B931" s="762"/>
      <c r="C931" s="745"/>
      <c r="D931" s="910" t="s">
        <v>652</v>
      </c>
      <c r="E931" s="737"/>
      <c r="F931" s="736"/>
      <c r="G931" s="1369"/>
      <c r="H931" s="811"/>
      <c r="I931" s="299">
        <f>SUM(J931:Q931)</f>
        <v>0</v>
      </c>
      <c r="J931" s="1140"/>
      <c r="K931" s="1140"/>
      <c r="L931" s="1140"/>
      <c r="M931" s="1140"/>
      <c r="N931" s="1149"/>
      <c r="P931" s="743"/>
    </row>
    <row r="932" spans="1:16" s="768" customFormat="1" ht="18" customHeight="1" x14ac:dyDescent="0.3">
      <c r="A932" s="716">
        <v>924</v>
      </c>
      <c r="B932" s="762"/>
      <c r="C932" s="745"/>
      <c r="D932" s="1146" t="s">
        <v>858</v>
      </c>
      <c r="E932" s="737"/>
      <c r="F932" s="736"/>
      <c r="G932" s="1369"/>
      <c r="H932" s="811"/>
      <c r="I932" s="443">
        <f>SUM(J932:Q932)</f>
        <v>25945</v>
      </c>
      <c r="J932" s="825"/>
      <c r="K932" s="825"/>
      <c r="L932" s="1139">
        <f>SUM(L930:L931)</f>
        <v>25945</v>
      </c>
      <c r="M932" s="825"/>
      <c r="N932" s="827"/>
      <c r="P932" s="743"/>
    </row>
    <row r="933" spans="1:16" s="768" customFormat="1" ht="23.45" customHeight="1" x14ac:dyDescent="0.3">
      <c r="A933" s="716">
        <v>925</v>
      </c>
      <c r="B933" s="762"/>
      <c r="C933" s="745">
        <v>180</v>
      </c>
      <c r="D933" s="837" t="s">
        <v>575</v>
      </c>
      <c r="E933" s="737"/>
      <c r="F933" s="736"/>
      <c r="G933" s="1369"/>
      <c r="H933" s="811" t="s">
        <v>24</v>
      </c>
      <c r="I933" s="824"/>
      <c r="J933" s="825"/>
      <c r="K933" s="825"/>
      <c r="L933" s="826"/>
      <c r="M933" s="825"/>
      <c r="N933" s="827"/>
      <c r="P933" s="743"/>
    </row>
    <row r="934" spans="1:16" s="768" customFormat="1" ht="18" customHeight="1" x14ac:dyDescent="0.3">
      <c r="A934" s="716">
        <v>926</v>
      </c>
      <c r="B934" s="762"/>
      <c r="C934" s="745"/>
      <c r="D934" s="828" t="s">
        <v>245</v>
      </c>
      <c r="E934" s="737"/>
      <c r="F934" s="736"/>
      <c r="G934" s="1369"/>
      <c r="H934" s="811"/>
      <c r="I934" s="824">
        <f>SUM(J934:N934)</f>
        <v>31000</v>
      </c>
      <c r="J934" s="825"/>
      <c r="K934" s="825"/>
      <c r="L934" s="826">
        <v>31000</v>
      </c>
      <c r="M934" s="825"/>
      <c r="N934" s="827"/>
      <c r="P934" s="743"/>
    </row>
    <row r="935" spans="1:16" s="768" customFormat="1" ht="18" customHeight="1" x14ac:dyDescent="0.3">
      <c r="A935" s="716">
        <v>927</v>
      </c>
      <c r="B935" s="762"/>
      <c r="C935" s="745"/>
      <c r="D935" s="1146" t="s">
        <v>810</v>
      </c>
      <c r="E935" s="737"/>
      <c r="F935" s="736"/>
      <c r="G935" s="1369"/>
      <c r="H935" s="811"/>
      <c r="I935" s="1445">
        <f>SUM(J935:N935)</f>
        <v>31000</v>
      </c>
      <c r="J935" s="1140"/>
      <c r="K935" s="1140"/>
      <c r="L935" s="1139">
        <v>31000</v>
      </c>
      <c r="M935" s="825"/>
      <c r="N935" s="827"/>
      <c r="P935" s="743"/>
    </row>
    <row r="936" spans="1:16" s="768" customFormat="1" ht="18" customHeight="1" x14ac:dyDescent="0.3">
      <c r="A936" s="716">
        <v>928</v>
      </c>
      <c r="B936" s="762"/>
      <c r="C936" s="745"/>
      <c r="D936" s="910" t="s">
        <v>652</v>
      </c>
      <c r="E936" s="737"/>
      <c r="F936" s="736"/>
      <c r="G936" s="1369"/>
      <c r="H936" s="811"/>
      <c r="I936" s="299">
        <f>SUM(J936:Q936)</f>
        <v>0</v>
      </c>
      <c r="J936" s="1140"/>
      <c r="K936" s="1140"/>
      <c r="L936" s="1139"/>
      <c r="M936" s="1140"/>
      <c r="N936" s="1141"/>
      <c r="P936" s="743"/>
    </row>
    <row r="937" spans="1:16" s="768" customFormat="1" ht="18" customHeight="1" x14ac:dyDescent="0.3">
      <c r="A937" s="716">
        <v>929</v>
      </c>
      <c r="B937" s="762"/>
      <c r="C937" s="745"/>
      <c r="D937" s="1146" t="s">
        <v>858</v>
      </c>
      <c r="E937" s="737"/>
      <c r="F937" s="736"/>
      <c r="G937" s="1369"/>
      <c r="H937" s="811"/>
      <c r="I937" s="443">
        <f>SUM(J937:Q937)</f>
        <v>31000</v>
      </c>
      <c r="J937" s="825"/>
      <c r="K937" s="825"/>
      <c r="L937" s="1139">
        <f>SUM(L935:L936)</f>
        <v>31000</v>
      </c>
      <c r="M937" s="825"/>
      <c r="N937" s="827"/>
      <c r="P937" s="743"/>
    </row>
    <row r="938" spans="1:16" s="768" customFormat="1" ht="23.45" customHeight="1" x14ac:dyDescent="0.3">
      <c r="A938" s="716">
        <v>930</v>
      </c>
      <c r="B938" s="762"/>
      <c r="C938" s="745">
        <v>181</v>
      </c>
      <c r="D938" s="823" t="s">
        <v>567</v>
      </c>
      <c r="E938" s="737"/>
      <c r="F938" s="736"/>
      <c r="G938" s="1369"/>
      <c r="H938" s="811" t="s">
        <v>24</v>
      </c>
      <c r="I938" s="824"/>
      <c r="J938" s="825"/>
      <c r="K938" s="825"/>
      <c r="L938" s="826"/>
      <c r="M938" s="825"/>
      <c r="N938" s="827"/>
      <c r="P938" s="743"/>
    </row>
    <row r="939" spans="1:16" s="768" customFormat="1" ht="18" customHeight="1" x14ac:dyDescent="0.3">
      <c r="A939" s="716">
        <v>931</v>
      </c>
      <c r="B939" s="762"/>
      <c r="C939" s="745"/>
      <c r="D939" s="828" t="s">
        <v>245</v>
      </c>
      <c r="E939" s="737"/>
      <c r="F939" s="736"/>
      <c r="G939" s="1369"/>
      <c r="H939" s="811"/>
      <c r="I939" s="824">
        <f>SUM(J939:N939)</f>
        <v>2500</v>
      </c>
      <c r="J939" s="825"/>
      <c r="K939" s="825"/>
      <c r="L939" s="1139">
        <v>2500</v>
      </c>
      <c r="M939" s="825"/>
      <c r="N939" s="827"/>
      <c r="P939" s="743"/>
    </row>
    <row r="940" spans="1:16" s="768" customFormat="1" ht="18" customHeight="1" x14ac:dyDescent="0.3">
      <c r="A940" s="716">
        <v>932</v>
      </c>
      <c r="B940" s="762"/>
      <c r="C940" s="745"/>
      <c r="D940" s="1146" t="s">
        <v>810</v>
      </c>
      <c r="E940" s="737"/>
      <c r="F940" s="736"/>
      <c r="G940" s="1369"/>
      <c r="H940" s="811"/>
      <c r="I940" s="1445">
        <f>SUM(J940:N940)</f>
        <v>2500</v>
      </c>
      <c r="J940" s="1140"/>
      <c r="K940" s="1140"/>
      <c r="L940" s="1139">
        <v>2500</v>
      </c>
      <c r="M940" s="825"/>
      <c r="N940" s="827"/>
      <c r="P940" s="743"/>
    </row>
    <row r="941" spans="1:16" s="768" customFormat="1" ht="18" customHeight="1" x14ac:dyDescent="0.3">
      <c r="A941" s="716">
        <v>933</v>
      </c>
      <c r="B941" s="762"/>
      <c r="C941" s="745"/>
      <c r="D941" s="910" t="s">
        <v>652</v>
      </c>
      <c r="E941" s="737"/>
      <c r="F941" s="736"/>
      <c r="G941" s="1369"/>
      <c r="H941" s="811"/>
      <c r="I941" s="299">
        <f>SUM(J941:Q941)</f>
        <v>0</v>
      </c>
      <c r="J941" s="1140"/>
      <c r="K941" s="1140"/>
      <c r="L941" s="1139"/>
      <c r="M941" s="1140"/>
      <c r="N941" s="1141"/>
      <c r="P941" s="743"/>
    </row>
    <row r="942" spans="1:16" s="768" customFormat="1" ht="18" customHeight="1" x14ac:dyDescent="0.3">
      <c r="A942" s="716">
        <v>934</v>
      </c>
      <c r="B942" s="762"/>
      <c r="C942" s="745"/>
      <c r="D942" s="1146" t="s">
        <v>858</v>
      </c>
      <c r="E942" s="737"/>
      <c r="F942" s="736"/>
      <c r="G942" s="1369"/>
      <c r="H942" s="811"/>
      <c r="I942" s="443">
        <f>SUM(J942:Q942)</f>
        <v>2500</v>
      </c>
      <c r="J942" s="825"/>
      <c r="K942" s="825"/>
      <c r="L942" s="1139">
        <f>SUM(L940:L941)</f>
        <v>2500</v>
      </c>
      <c r="M942" s="825"/>
      <c r="N942" s="827"/>
      <c r="P942" s="743"/>
    </row>
    <row r="943" spans="1:16" s="768" customFormat="1" ht="23.45" customHeight="1" x14ac:dyDescent="0.3">
      <c r="A943" s="716">
        <v>935</v>
      </c>
      <c r="B943" s="762"/>
      <c r="C943" s="745">
        <v>182</v>
      </c>
      <c r="D943" s="823" t="s">
        <v>641</v>
      </c>
      <c r="E943" s="737"/>
      <c r="F943" s="736"/>
      <c r="G943" s="1369"/>
      <c r="H943" s="811" t="s">
        <v>24</v>
      </c>
      <c r="I943" s="824"/>
      <c r="J943" s="825"/>
      <c r="K943" s="825"/>
      <c r="L943" s="826"/>
      <c r="M943" s="825"/>
      <c r="N943" s="827"/>
      <c r="P943" s="743"/>
    </row>
    <row r="944" spans="1:16" s="768" customFormat="1" ht="18" customHeight="1" x14ac:dyDescent="0.3">
      <c r="A944" s="716">
        <v>936</v>
      </c>
      <c r="B944" s="762"/>
      <c r="C944" s="745"/>
      <c r="D944" s="828" t="s">
        <v>245</v>
      </c>
      <c r="E944" s="737"/>
      <c r="F944" s="736"/>
      <c r="G944" s="1369"/>
      <c r="H944" s="811"/>
      <c r="I944" s="824">
        <f>SUM(J944:N944)</f>
        <v>1500</v>
      </c>
      <c r="J944" s="825"/>
      <c r="K944" s="825"/>
      <c r="L944" s="826"/>
      <c r="M944" s="825"/>
      <c r="N944" s="827">
        <v>1500</v>
      </c>
      <c r="P944" s="743"/>
    </row>
    <row r="945" spans="1:16" s="768" customFormat="1" ht="18" customHeight="1" x14ac:dyDescent="0.3">
      <c r="A945" s="716">
        <v>937</v>
      </c>
      <c r="B945" s="762"/>
      <c r="C945" s="745"/>
      <c r="D945" s="1146" t="s">
        <v>810</v>
      </c>
      <c r="E945" s="737"/>
      <c r="F945" s="736"/>
      <c r="G945" s="1369"/>
      <c r="H945" s="811"/>
      <c r="I945" s="1445">
        <f>SUM(J945:N945)</f>
        <v>1500</v>
      </c>
      <c r="J945" s="1140"/>
      <c r="K945" s="1140"/>
      <c r="L945" s="1139"/>
      <c r="M945" s="1140"/>
      <c r="N945" s="1141">
        <v>1500</v>
      </c>
      <c r="P945" s="743"/>
    </row>
    <row r="946" spans="1:16" s="768" customFormat="1" ht="18" customHeight="1" x14ac:dyDescent="0.3">
      <c r="A946" s="716">
        <v>938</v>
      </c>
      <c r="B946" s="762"/>
      <c r="C946" s="745"/>
      <c r="D946" s="910" t="s">
        <v>652</v>
      </c>
      <c r="E946" s="737"/>
      <c r="F946" s="736"/>
      <c r="G946" s="1369"/>
      <c r="H946" s="811"/>
      <c r="I946" s="299">
        <f>SUM(J946:Q946)</f>
        <v>0</v>
      </c>
      <c r="J946" s="1140"/>
      <c r="K946" s="1140"/>
      <c r="L946" s="1139"/>
      <c r="M946" s="1140"/>
      <c r="N946" s="1141"/>
      <c r="P946" s="743"/>
    </row>
    <row r="947" spans="1:16" s="768" customFormat="1" ht="18" customHeight="1" x14ac:dyDescent="0.3">
      <c r="A947" s="716">
        <v>939</v>
      </c>
      <c r="B947" s="762"/>
      <c r="C947" s="745"/>
      <c r="D947" s="1146" t="s">
        <v>858</v>
      </c>
      <c r="E947" s="737"/>
      <c r="F947" s="736"/>
      <c r="G947" s="1369"/>
      <c r="H947" s="811"/>
      <c r="I947" s="443">
        <f>SUM(J947:Q947)</f>
        <v>1500</v>
      </c>
      <c r="J947" s="825"/>
      <c r="K947" s="825"/>
      <c r="L947" s="826"/>
      <c r="M947" s="825"/>
      <c r="N947" s="1141">
        <f>SUM(N945:N946)</f>
        <v>1500</v>
      </c>
      <c r="P947" s="743"/>
    </row>
    <row r="948" spans="1:16" s="768" customFormat="1" ht="23.45" customHeight="1" x14ac:dyDescent="0.3">
      <c r="A948" s="716">
        <v>940</v>
      </c>
      <c r="B948" s="762"/>
      <c r="C948" s="745">
        <v>183</v>
      </c>
      <c r="D948" s="823" t="s">
        <v>568</v>
      </c>
      <c r="E948" s="737"/>
      <c r="F948" s="736"/>
      <c r="G948" s="1369"/>
      <c r="H948" s="811" t="s">
        <v>24</v>
      </c>
      <c r="I948" s="824"/>
      <c r="J948" s="825"/>
      <c r="K948" s="825"/>
      <c r="L948" s="826"/>
      <c r="M948" s="825"/>
      <c r="N948" s="827"/>
      <c r="P948" s="743"/>
    </row>
    <row r="949" spans="1:16" s="768" customFormat="1" ht="18" customHeight="1" x14ac:dyDescent="0.3">
      <c r="A949" s="716">
        <v>941</v>
      </c>
      <c r="B949" s="762"/>
      <c r="C949" s="745"/>
      <c r="D949" s="828" t="s">
        <v>245</v>
      </c>
      <c r="E949" s="737"/>
      <c r="F949" s="736"/>
      <c r="G949" s="1369"/>
      <c r="H949" s="811"/>
      <c r="I949" s="824">
        <f>SUM(J949:N949)</f>
        <v>4000</v>
      </c>
      <c r="J949" s="825"/>
      <c r="K949" s="825"/>
      <c r="L949" s="826">
        <v>4000</v>
      </c>
      <c r="M949" s="825"/>
      <c r="N949" s="827"/>
      <c r="P949" s="743"/>
    </row>
    <row r="950" spans="1:16" s="768" customFormat="1" ht="18" customHeight="1" x14ac:dyDescent="0.3">
      <c r="A950" s="716">
        <v>942</v>
      </c>
      <c r="B950" s="762"/>
      <c r="C950" s="745"/>
      <c r="D950" s="1146" t="s">
        <v>810</v>
      </c>
      <c r="E950" s="737"/>
      <c r="F950" s="736"/>
      <c r="G950" s="1369"/>
      <c r="H950" s="811"/>
      <c r="I950" s="1445">
        <f>SUM(J950:N950)</f>
        <v>4000</v>
      </c>
      <c r="J950" s="1140"/>
      <c r="K950" s="1140"/>
      <c r="L950" s="1139">
        <v>4000</v>
      </c>
      <c r="M950" s="825"/>
      <c r="N950" s="827"/>
      <c r="P950" s="743"/>
    </row>
    <row r="951" spans="1:16" s="768" customFormat="1" ht="18" customHeight="1" x14ac:dyDescent="0.3">
      <c r="A951" s="716">
        <v>943</v>
      </c>
      <c r="B951" s="762"/>
      <c r="C951" s="745"/>
      <c r="D951" s="910" t="s">
        <v>652</v>
      </c>
      <c r="E951" s="737"/>
      <c r="F951" s="736"/>
      <c r="G951" s="1369"/>
      <c r="H951" s="811"/>
      <c r="I951" s="299">
        <f>SUM(J951:Q951)</f>
        <v>0</v>
      </c>
      <c r="J951" s="1140"/>
      <c r="K951" s="1140"/>
      <c r="L951" s="1139"/>
      <c r="M951" s="1140"/>
      <c r="N951" s="1141"/>
      <c r="P951" s="743"/>
    </row>
    <row r="952" spans="1:16" s="768" customFormat="1" ht="18" customHeight="1" x14ac:dyDescent="0.3">
      <c r="A952" s="716">
        <v>944</v>
      </c>
      <c r="B952" s="762"/>
      <c r="C952" s="745"/>
      <c r="D952" s="1146" t="s">
        <v>858</v>
      </c>
      <c r="E952" s="737"/>
      <c r="F952" s="736"/>
      <c r="G952" s="1369"/>
      <c r="H952" s="811"/>
      <c r="I952" s="443">
        <f>SUM(J952:Q952)</f>
        <v>4000</v>
      </c>
      <c r="J952" s="825"/>
      <c r="K952" s="825"/>
      <c r="L952" s="1139">
        <f>SUM(L950:L951)</f>
        <v>4000</v>
      </c>
      <c r="M952" s="825"/>
      <c r="N952" s="827"/>
      <c r="P952" s="743"/>
    </row>
    <row r="953" spans="1:16" s="768" customFormat="1" ht="23.45" customHeight="1" x14ac:dyDescent="0.3">
      <c r="A953" s="716">
        <v>945</v>
      </c>
      <c r="B953" s="762"/>
      <c r="C953" s="745">
        <v>184</v>
      </c>
      <c r="D953" s="823" t="s">
        <v>583</v>
      </c>
      <c r="E953" s="737"/>
      <c r="F953" s="736"/>
      <c r="G953" s="1369"/>
      <c r="H953" s="811" t="s">
        <v>24</v>
      </c>
      <c r="I953" s="824"/>
      <c r="J953" s="825"/>
      <c r="K953" s="825"/>
      <c r="L953" s="826"/>
      <c r="M953" s="825"/>
      <c r="N953" s="827"/>
      <c r="P953" s="743"/>
    </row>
    <row r="954" spans="1:16" s="768" customFormat="1" ht="18" customHeight="1" x14ac:dyDescent="0.3">
      <c r="A954" s="716">
        <v>946</v>
      </c>
      <c r="B954" s="762"/>
      <c r="C954" s="745"/>
      <c r="D954" s="828" t="s">
        <v>245</v>
      </c>
      <c r="E954" s="737"/>
      <c r="F954" s="736"/>
      <c r="G954" s="1369"/>
      <c r="H954" s="811"/>
      <c r="I954" s="824">
        <f>SUM(J954:N954)</f>
        <v>180</v>
      </c>
      <c r="J954" s="825"/>
      <c r="K954" s="825"/>
      <c r="L954" s="826">
        <v>180</v>
      </c>
      <c r="M954" s="825"/>
      <c r="N954" s="827"/>
      <c r="P954" s="743"/>
    </row>
    <row r="955" spans="1:16" s="768" customFormat="1" ht="18" customHeight="1" x14ac:dyDescent="0.3">
      <c r="A955" s="716">
        <v>947</v>
      </c>
      <c r="B955" s="762"/>
      <c r="C955" s="745"/>
      <c r="D955" s="1146" t="s">
        <v>810</v>
      </c>
      <c r="E955" s="737"/>
      <c r="F955" s="736"/>
      <c r="G955" s="1369"/>
      <c r="H955" s="811"/>
      <c r="I955" s="1445">
        <f>SUM(J955:N955)</f>
        <v>180</v>
      </c>
      <c r="J955" s="1140"/>
      <c r="K955" s="1140"/>
      <c r="L955" s="1139">
        <v>180</v>
      </c>
      <c r="M955" s="825"/>
      <c r="N955" s="827"/>
      <c r="P955" s="743"/>
    </row>
    <row r="956" spans="1:16" s="768" customFormat="1" ht="18" customHeight="1" x14ac:dyDescent="0.3">
      <c r="A956" s="716">
        <v>948</v>
      </c>
      <c r="B956" s="762"/>
      <c r="C956" s="745"/>
      <c r="D956" s="910" t="s">
        <v>652</v>
      </c>
      <c r="E956" s="737"/>
      <c r="F956" s="736"/>
      <c r="G956" s="1369"/>
      <c r="H956" s="811"/>
      <c r="I956" s="299">
        <f>SUM(J956:Q956)</f>
        <v>0</v>
      </c>
      <c r="J956" s="825"/>
      <c r="K956" s="825"/>
      <c r="L956" s="826"/>
      <c r="M956" s="825"/>
      <c r="N956" s="827"/>
      <c r="P956" s="743"/>
    </row>
    <row r="957" spans="1:16" s="768" customFormat="1" ht="18" customHeight="1" x14ac:dyDescent="0.3">
      <c r="A957" s="716">
        <v>949</v>
      </c>
      <c r="B957" s="762"/>
      <c r="C957" s="745"/>
      <c r="D957" s="1146" t="s">
        <v>858</v>
      </c>
      <c r="E957" s="737"/>
      <c r="F957" s="736"/>
      <c r="G957" s="1369"/>
      <c r="H957" s="811"/>
      <c r="I957" s="443">
        <f>SUM(J957:Q957)</f>
        <v>180</v>
      </c>
      <c r="J957" s="825"/>
      <c r="K957" s="825"/>
      <c r="L957" s="1139">
        <f>SUM(L955:L956)</f>
        <v>180</v>
      </c>
      <c r="M957" s="825"/>
      <c r="N957" s="827"/>
      <c r="P957" s="743"/>
    </row>
    <row r="958" spans="1:16" s="768" customFormat="1" ht="23.45" customHeight="1" x14ac:dyDescent="0.3">
      <c r="A958" s="716">
        <v>950</v>
      </c>
      <c r="B958" s="762"/>
      <c r="C958" s="745">
        <v>185</v>
      </c>
      <c r="D958" s="823" t="s">
        <v>569</v>
      </c>
      <c r="E958" s="737"/>
      <c r="F958" s="736"/>
      <c r="G958" s="1369"/>
      <c r="H958" s="811" t="s">
        <v>24</v>
      </c>
      <c r="I958" s="824"/>
      <c r="J958" s="825"/>
      <c r="K958" s="825"/>
      <c r="L958" s="826"/>
      <c r="M958" s="825"/>
      <c r="N958" s="827"/>
      <c r="P958" s="743"/>
    </row>
    <row r="959" spans="1:16" s="768" customFormat="1" ht="18" customHeight="1" x14ac:dyDescent="0.3">
      <c r="A959" s="716">
        <v>951</v>
      </c>
      <c r="B959" s="762"/>
      <c r="C959" s="745"/>
      <c r="D959" s="828" t="s">
        <v>245</v>
      </c>
      <c r="E959" s="737"/>
      <c r="F959" s="736"/>
      <c r="G959" s="1369"/>
      <c r="H959" s="811"/>
      <c r="I959" s="824">
        <f>SUM(J959:N959)</f>
        <v>2000</v>
      </c>
      <c r="J959" s="825"/>
      <c r="K959" s="825"/>
      <c r="L959" s="826"/>
      <c r="M959" s="825"/>
      <c r="N959" s="827">
        <v>2000</v>
      </c>
      <c r="P959" s="743"/>
    </row>
    <row r="960" spans="1:16" s="768" customFormat="1" ht="18" customHeight="1" x14ac:dyDescent="0.3">
      <c r="A960" s="716">
        <v>952</v>
      </c>
      <c r="B960" s="762"/>
      <c r="C960" s="745"/>
      <c r="D960" s="1146" t="s">
        <v>810</v>
      </c>
      <c r="E960" s="737"/>
      <c r="F960" s="736"/>
      <c r="G960" s="1369"/>
      <c r="H960" s="811"/>
      <c r="I960" s="1445">
        <f>SUM(J960:N960)</f>
        <v>2000</v>
      </c>
      <c r="J960" s="1139">
        <v>362</v>
      </c>
      <c r="K960" s="1139">
        <v>120</v>
      </c>
      <c r="L960" s="1139">
        <v>1518</v>
      </c>
      <c r="M960" s="1140"/>
      <c r="N960" s="1141">
        <v>0</v>
      </c>
      <c r="P960" s="743"/>
    </row>
    <row r="961" spans="1:16" s="768" customFormat="1" ht="18" customHeight="1" x14ac:dyDescent="0.3">
      <c r="A961" s="716">
        <v>953</v>
      </c>
      <c r="B961" s="762"/>
      <c r="C961" s="745"/>
      <c r="D961" s="910" t="s">
        <v>652</v>
      </c>
      <c r="E961" s="737"/>
      <c r="F961" s="736"/>
      <c r="G961" s="1369"/>
      <c r="H961" s="811"/>
      <c r="I961" s="299">
        <f>SUM(J961:Q961)</f>
        <v>0</v>
      </c>
      <c r="J961" s="1140"/>
      <c r="K961" s="1140"/>
      <c r="L961" s="1140"/>
      <c r="M961" s="1140"/>
      <c r="N961" s="1149"/>
      <c r="P961" s="743"/>
    </row>
    <row r="962" spans="1:16" s="768" customFormat="1" ht="18" customHeight="1" x14ac:dyDescent="0.3">
      <c r="A962" s="716">
        <v>954</v>
      </c>
      <c r="B962" s="762"/>
      <c r="C962" s="745"/>
      <c r="D962" s="1146" t="s">
        <v>858</v>
      </c>
      <c r="E962" s="737"/>
      <c r="F962" s="736"/>
      <c r="G962" s="1369"/>
      <c r="H962" s="811"/>
      <c r="I962" s="443">
        <f>SUM(J962:Q962)</f>
        <v>2000</v>
      </c>
      <c r="J962" s="1139">
        <f>SUM(J960:J961)</f>
        <v>362</v>
      </c>
      <c r="K962" s="1139">
        <f t="shared" ref="K962:N962" si="31">SUM(K960:K961)</f>
        <v>120</v>
      </c>
      <c r="L962" s="1139">
        <f t="shared" si="31"/>
        <v>1518</v>
      </c>
      <c r="M962" s="1143"/>
      <c r="N962" s="1124">
        <f t="shared" si="31"/>
        <v>0</v>
      </c>
      <c r="P962" s="743"/>
    </row>
    <row r="963" spans="1:16" s="768" customFormat="1" ht="23.45" customHeight="1" x14ac:dyDescent="0.3">
      <c r="A963" s="716">
        <v>955</v>
      </c>
      <c r="B963" s="762"/>
      <c r="C963" s="745">
        <v>186</v>
      </c>
      <c r="D963" s="823" t="s">
        <v>571</v>
      </c>
      <c r="E963" s="737"/>
      <c r="F963" s="736"/>
      <c r="G963" s="1369"/>
      <c r="H963" s="811" t="s">
        <v>24</v>
      </c>
      <c r="I963" s="824"/>
      <c r="J963" s="825"/>
      <c r="K963" s="825"/>
      <c r="L963" s="826"/>
      <c r="M963" s="825"/>
      <c r="N963" s="827"/>
      <c r="P963" s="743"/>
    </row>
    <row r="964" spans="1:16" s="768" customFormat="1" ht="18" customHeight="1" x14ac:dyDescent="0.3">
      <c r="A964" s="716">
        <v>956</v>
      </c>
      <c r="B964" s="762"/>
      <c r="C964" s="745"/>
      <c r="D964" s="828" t="s">
        <v>245</v>
      </c>
      <c r="E964" s="737"/>
      <c r="F964" s="736"/>
      <c r="G964" s="1369"/>
      <c r="H964" s="811"/>
      <c r="I964" s="824">
        <f>SUM(J964:N964)</f>
        <v>20000</v>
      </c>
      <c r="J964" s="825"/>
      <c r="K964" s="825"/>
      <c r="L964" s="826">
        <v>20000</v>
      </c>
      <c r="M964" s="825"/>
      <c r="N964" s="827"/>
      <c r="P964" s="743"/>
    </row>
    <row r="965" spans="1:16" s="768" customFormat="1" ht="18" customHeight="1" x14ac:dyDescent="0.3">
      <c r="A965" s="716">
        <v>957</v>
      </c>
      <c r="B965" s="762"/>
      <c r="C965" s="745"/>
      <c r="D965" s="1146" t="s">
        <v>810</v>
      </c>
      <c r="E965" s="737"/>
      <c r="F965" s="736"/>
      <c r="G965" s="1369"/>
      <c r="H965" s="811"/>
      <c r="I965" s="1445">
        <f>SUM(J965:N965)</f>
        <v>20000</v>
      </c>
      <c r="J965" s="1140"/>
      <c r="K965" s="1140"/>
      <c r="L965" s="1139">
        <v>20000</v>
      </c>
      <c r="M965" s="825"/>
      <c r="N965" s="827"/>
      <c r="P965" s="743"/>
    </row>
    <row r="966" spans="1:16" s="768" customFormat="1" ht="18" customHeight="1" x14ac:dyDescent="0.3">
      <c r="A966" s="716">
        <v>958</v>
      </c>
      <c r="B966" s="762"/>
      <c r="C966" s="745"/>
      <c r="D966" s="910" t="s">
        <v>652</v>
      </c>
      <c r="E966" s="737"/>
      <c r="F966" s="736"/>
      <c r="G966" s="1370"/>
      <c r="H966" s="811"/>
      <c r="I966" s="299">
        <f>SUM(J966:Q966)</f>
        <v>0</v>
      </c>
      <c r="J966" s="1140"/>
      <c r="K966" s="1140"/>
      <c r="L966" s="1139"/>
      <c r="M966" s="1140"/>
      <c r="N966" s="1141"/>
      <c r="P966" s="743"/>
    </row>
    <row r="967" spans="1:16" s="768" customFormat="1" ht="18" customHeight="1" x14ac:dyDescent="0.3">
      <c r="A967" s="716">
        <v>959</v>
      </c>
      <c r="B967" s="762"/>
      <c r="C967" s="745"/>
      <c r="D967" s="1146" t="s">
        <v>858</v>
      </c>
      <c r="E967" s="737"/>
      <c r="F967" s="736"/>
      <c r="G967" s="1370"/>
      <c r="H967" s="811"/>
      <c r="I967" s="443">
        <f>SUM(J967:Q967)</f>
        <v>20000</v>
      </c>
      <c r="J967" s="825"/>
      <c r="K967" s="825"/>
      <c r="L967" s="1139">
        <f>SUM(L965:L966)</f>
        <v>20000</v>
      </c>
      <c r="M967" s="825"/>
      <c r="N967" s="827"/>
      <c r="P967" s="743"/>
    </row>
    <row r="968" spans="1:16" s="733" customFormat="1" ht="23.45" customHeight="1" x14ac:dyDescent="0.3">
      <c r="A968" s="716">
        <v>960</v>
      </c>
      <c r="B968" s="744"/>
      <c r="C968" s="745">
        <v>187</v>
      </c>
      <c r="D968" s="746" t="s">
        <v>563</v>
      </c>
      <c r="E968" s="736"/>
      <c r="F968" s="736"/>
      <c r="G968" s="737">
        <v>6273</v>
      </c>
      <c r="H968" s="738" t="s">
        <v>23</v>
      </c>
      <c r="I968" s="739"/>
      <c r="J968" s="740"/>
      <c r="K968" s="740"/>
      <c r="L968" s="740"/>
      <c r="M968" s="740"/>
      <c r="N968" s="750"/>
      <c r="P968" s="743"/>
    </row>
    <row r="969" spans="1:16" s="733" customFormat="1" ht="18" customHeight="1" x14ac:dyDescent="0.3">
      <c r="A969" s="716">
        <v>961</v>
      </c>
      <c r="B969" s="744"/>
      <c r="C969" s="745"/>
      <c r="D969" s="241" t="s">
        <v>245</v>
      </c>
      <c r="E969" s="736"/>
      <c r="F969" s="736"/>
      <c r="G969" s="737"/>
      <c r="H969" s="738"/>
      <c r="I969" s="739">
        <f>SUM(J969:N969)</f>
        <v>12067</v>
      </c>
      <c r="J969" s="740"/>
      <c r="K969" s="740"/>
      <c r="L969" s="741">
        <f>6000+6067</f>
        <v>12067</v>
      </c>
      <c r="M969" s="740"/>
      <c r="N969" s="750"/>
      <c r="P969" s="743"/>
    </row>
    <row r="970" spans="1:16" s="733" customFormat="1" ht="18" customHeight="1" x14ac:dyDescent="0.3">
      <c r="A970" s="716">
        <v>962</v>
      </c>
      <c r="B970" s="744"/>
      <c r="C970" s="745"/>
      <c r="D970" s="1146" t="s">
        <v>810</v>
      </c>
      <c r="E970" s="736"/>
      <c r="F970" s="736"/>
      <c r="G970" s="1370"/>
      <c r="H970" s="738"/>
      <c r="I970" s="1446">
        <f>SUM(J970:N970)</f>
        <v>12067</v>
      </c>
      <c r="J970" s="1142"/>
      <c r="K970" s="1142"/>
      <c r="L970" s="1139">
        <v>12067</v>
      </c>
      <c r="M970" s="838"/>
      <c r="N970" s="827"/>
      <c r="P970" s="743"/>
    </row>
    <row r="971" spans="1:16" s="733" customFormat="1" ht="18" customHeight="1" x14ac:dyDescent="0.3">
      <c r="A971" s="716">
        <v>963</v>
      </c>
      <c r="B971" s="744"/>
      <c r="C971" s="745"/>
      <c r="D971" s="910" t="s">
        <v>652</v>
      </c>
      <c r="E971" s="736"/>
      <c r="F971" s="736"/>
      <c r="G971" s="1370"/>
      <c r="H971" s="811"/>
      <c r="I971" s="299">
        <f>SUM(J971:Q971)</f>
        <v>0</v>
      </c>
      <c r="J971" s="1142"/>
      <c r="K971" s="1142"/>
      <c r="L971" s="1139"/>
      <c r="M971" s="1142"/>
      <c r="N971" s="1141"/>
      <c r="P971" s="743"/>
    </row>
    <row r="972" spans="1:16" s="733" customFormat="1" ht="18" customHeight="1" x14ac:dyDescent="0.3">
      <c r="A972" s="716">
        <v>964</v>
      </c>
      <c r="B972" s="744"/>
      <c r="C972" s="745"/>
      <c r="D972" s="1146" t="s">
        <v>858</v>
      </c>
      <c r="E972" s="736"/>
      <c r="F972" s="736"/>
      <c r="G972" s="1370"/>
      <c r="H972" s="811"/>
      <c r="I972" s="443">
        <f>SUM(J972:Q972)</f>
        <v>12067</v>
      </c>
      <c r="J972" s="838"/>
      <c r="K972" s="838"/>
      <c r="L972" s="1139">
        <f>SUM(L970:L971)</f>
        <v>12067</v>
      </c>
      <c r="M972" s="838"/>
      <c r="N972" s="827"/>
      <c r="P972" s="743"/>
    </row>
    <row r="973" spans="1:16" s="733" customFormat="1" ht="23.45" customHeight="1" x14ac:dyDescent="0.3">
      <c r="A973" s="716">
        <v>965</v>
      </c>
      <c r="B973" s="744"/>
      <c r="C973" s="745">
        <v>188</v>
      </c>
      <c r="D973" s="823" t="s">
        <v>1120</v>
      </c>
      <c r="E973" s="736"/>
      <c r="F973" s="736"/>
      <c r="G973" s="1370">
        <v>69509</v>
      </c>
      <c r="H973" s="811" t="s">
        <v>24</v>
      </c>
      <c r="I973" s="824"/>
      <c r="J973" s="838"/>
      <c r="K973" s="838"/>
      <c r="L973" s="826"/>
      <c r="M973" s="838"/>
      <c r="N973" s="827"/>
      <c r="P973" s="743"/>
    </row>
    <row r="974" spans="1:16" s="733" customFormat="1" ht="18" customHeight="1" x14ac:dyDescent="0.3">
      <c r="A974" s="716">
        <v>966</v>
      </c>
      <c r="B974" s="744"/>
      <c r="C974" s="745"/>
      <c r="D974" s="828" t="s">
        <v>245</v>
      </c>
      <c r="E974" s="736"/>
      <c r="F974" s="736"/>
      <c r="G974" s="1370"/>
      <c r="H974" s="811"/>
      <c r="I974" s="824">
        <f>SUM(J974:N974)</f>
        <v>20000</v>
      </c>
      <c r="J974" s="838"/>
      <c r="K974" s="838"/>
      <c r="L974" s="826">
        <v>20000</v>
      </c>
      <c r="M974" s="838"/>
      <c r="N974" s="827"/>
      <c r="P974" s="743"/>
    </row>
    <row r="975" spans="1:16" s="733" customFormat="1" ht="18" customHeight="1" x14ac:dyDescent="0.3">
      <c r="A975" s="716">
        <v>967</v>
      </c>
      <c r="B975" s="744"/>
      <c r="C975" s="745"/>
      <c r="D975" s="1146" t="s">
        <v>810</v>
      </c>
      <c r="E975" s="736"/>
      <c r="F975" s="736"/>
      <c r="G975" s="1370"/>
      <c r="H975" s="811"/>
      <c r="I975" s="1445">
        <f>SUM(J975:N975)</f>
        <v>20000</v>
      </c>
      <c r="J975" s="1142"/>
      <c r="K975" s="1142"/>
      <c r="L975" s="1139">
        <v>20000</v>
      </c>
      <c r="M975" s="838"/>
      <c r="N975" s="827"/>
      <c r="P975" s="743"/>
    </row>
    <row r="976" spans="1:16" s="733" customFormat="1" ht="18" customHeight="1" x14ac:dyDescent="0.3">
      <c r="A976" s="716">
        <v>968</v>
      </c>
      <c r="B976" s="744"/>
      <c r="C976" s="745"/>
      <c r="D976" s="910" t="s">
        <v>897</v>
      </c>
      <c r="E976" s="736"/>
      <c r="F976" s="736"/>
      <c r="G976" s="1370"/>
      <c r="H976" s="811"/>
      <c r="I976" s="299">
        <f>SUM(J976:Q976)</f>
        <v>-7000</v>
      </c>
      <c r="J976" s="1140"/>
      <c r="K976" s="1140"/>
      <c r="L976" s="1143">
        <v>-7000</v>
      </c>
      <c r="M976" s="1140"/>
      <c r="N976" s="1124"/>
      <c r="P976" s="743"/>
    </row>
    <row r="977" spans="1:16" s="733" customFormat="1" ht="18" customHeight="1" x14ac:dyDescent="0.3">
      <c r="A977" s="716">
        <v>969</v>
      </c>
      <c r="B977" s="744"/>
      <c r="C977" s="745"/>
      <c r="D977" s="1146" t="s">
        <v>858</v>
      </c>
      <c r="E977" s="736"/>
      <c r="F977" s="736"/>
      <c r="G977" s="1370"/>
      <c r="H977" s="811"/>
      <c r="I977" s="443">
        <f>SUM(J977:Q977)</f>
        <v>13000</v>
      </c>
      <c r="J977" s="838"/>
      <c r="K977" s="838"/>
      <c r="L977" s="1139">
        <f>SUM(L975:L976)</f>
        <v>13000</v>
      </c>
      <c r="M977" s="838"/>
      <c r="N977" s="827"/>
      <c r="P977" s="743"/>
    </row>
    <row r="978" spans="1:16" s="733" customFormat="1" ht="23.45" customHeight="1" x14ac:dyDescent="0.3">
      <c r="A978" s="716">
        <v>970</v>
      </c>
      <c r="B978" s="744"/>
      <c r="C978" s="745">
        <v>189</v>
      </c>
      <c r="D978" s="823" t="s">
        <v>642</v>
      </c>
      <c r="E978" s="736"/>
      <c r="F978" s="736"/>
      <c r="G978" s="1370"/>
      <c r="H978" s="811" t="s">
        <v>24</v>
      </c>
      <c r="I978" s="824"/>
      <c r="J978" s="838"/>
      <c r="K978" s="838"/>
      <c r="L978" s="826"/>
      <c r="M978" s="838"/>
      <c r="N978" s="827"/>
      <c r="P978" s="743"/>
    </row>
    <row r="979" spans="1:16" s="733" customFormat="1" ht="18" customHeight="1" x14ac:dyDescent="0.3">
      <c r="A979" s="716">
        <v>971</v>
      </c>
      <c r="B979" s="744"/>
      <c r="C979" s="745"/>
      <c r="D979" s="828" t="s">
        <v>245</v>
      </c>
      <c r="E979" s="736"/>
      <c r="F979" s="736"/>
      <c r="G979" s="1370"/>
      <c r="H979" s="811"/>
      <c r="I979" s="824">
        <f>SUM(J979:N979)</f>
        <v>9000</v>
      </c>
      <c r="J979" s="838"/>
      <c r="K979" s="838"/>
      <c r="L979" s="826"/>
      <c r="M979" s="838"/>
      <c r="N979" s="827">
        <v>9000</v>
      </c>
      <c r="P979" s="743"/>
    </row>
    <row r="980" spans="1:16" s="733" customFormat="1" ht="18" customHeight="1" x14ac:dyDescent="0.3">
      <c r="A980" s="716">
        <v>972</v>
      </c>
      <c r="B980" s="744"/>
      <c r="C980" s="745"/>
      <c r="D980" s="1146" t="s">
        <v>810</v>
      </c>
      <c r="E980" s="736"/>
      <c r="F980" s="736"/>
      <c r="G980" s="1370"/>
      <c r="H980" s="811"/>
      <c r="I980" s="1445">
        <f>SUM(J980:N980)</f>
        <v>9000</v>
      </c>
      <c r="J980" s="1142"/>
      <c r="K980" s="1142"/>
      <c r="L980" s="1139"/>
      <c r="M980" s="1142"/>
      <c r="N980" s="1141">
        <v>9000</v>
      </c>
      <c r="P980" s="743"/>
    </row>
    <row r="981" spans="1:16" s="733" customFormat="1" ht="18" customHeight="1" x14ac:dyDescent="0.3">
      <c r="A981" s="716">
        <v>973</v>
      </c>
      <c r="B981" s="744"/>
      <c r="C981" s="745"/>
      <c r="D981" s="910" t="s">
        <v>652</v>
      </c>
      <c r="E981" s="736"/>
      <c r="F981" s="736"/>
      <c r="G981" s="1370"/>
      <c r="H981" s="811"/>
      <c r="I981" s="299">
        <f>SUM(J981:Q981)</f>
        <v>0</v>
      </c>
      <c r="J981" s="1140"/>
      <c r="K981" s="1140"/>
      <c r="L981" s="1143"/>
      <c r="M981" s="1140"/>
      <c r="N981" s="1124"/>
      <c r="P981" s="743"/>
    </row>
    <row r="982" spans="1:16" s="733" customFormat="1" ht="18" customHeight="1" x14ac:dyDescent="0.3">
      <c r="A982" s="716">
        <v>974</v>
      </c>
      <c r="B982" s="744"/>
      <c r="C982" s="745"/>
      <c r="D982" s="1146" t="s">
        <v>858</v>
      </c>
      <c r="E982" s="736"/>
      <c r="F982" s="736"/>
      <c r="G982" s="1370"/>
      <c r="H982" s="811"/>
      <c r="I982" s="443">
        <f>SUM(J982:Q982)</f>
        <v>9000</v>
      </c>
      <c r="J982" s="838"/>
      <c r="K982" s="838"/>
      <c r="L982" s="826"/>
      <c r="M982" s="838"/>
      <c r="N982" s="1141">
        <f>SUM(N980:N981)</f>
        <v>9000</v>
      </c>
      <c r="P982" s="743"/>
    </row>
    <row r="983" spans="1:16" s="768" customFormat="1" ht="23.45" customHeight="1" x14ac:dyDescent="0.3">
      <c r="A983" s="716">
        <v>975</v>
      </c>
      <c r="B983" s="840"/>
      <c r="C983" s="745">
        <v>190</v>
      </c>
      <c r="D983" s="746" t="s">
        <v>561</v>
      </c>
      <c r="E983" s="736"/>
      <c r="F983" s="736"/>
      <c r="G983" s="1370"/>
      <c r="H983" s="839" t="s">
        <v>23</v>
      </c>
      <c r="I983" s="824"/>
      <c r="J983" s="766"/>
      <c r="K983" s="766"/>
      <c r="L983" s="741"/>
      <c r="M983" s="766"/>
      <c r="N983" s="750"/>
      <c r="P983" s="743"/>
    </row>
    <row r="984" spans="1:16" s="768" customFormat="1" ht="18" customHeight="1" x14ac:dyDescent="0.3">
      <c r="A984" s="716">
        <v>976</v>
      </c>
      <c r="B984" s="1150"/>
      <c r="C984" s="1151"/>
      <c r="D984" s="1144" t="s">
        <v>245</v>
      </c>
      <c r="E984" s="1152"/>
      <c r="F984" s="1153"/>
      <c r="G984" s="1372"/>
      <c r="H984" s="1154"/>
      <c r="I984" s="1155">
        <f>SUM(J984:N984)</f>
        <v>500000</v>
      </c>
      <c r="J984" s="1156"/>
      <c r="K984" s="1156"/>
      <c r="L984" s="1157"/>
      <c r="M984" s="1156"/>
      <c r="N984" s="1158">
        <v>500000</v>
      </c>
      <c r="P984" s="743"/>
    </row>
    <row r="985" spans="1:16" s="768" customFormat="1" ht="18" customHeight="1" x14ac:dyDescent="0.3">
      <c r="A985" s="716">
        <v>977</v>
      </c>
      <c r="B985" s="1150"/>
      <c r="C985" s="1151"/>
      <c r="D985" s="1380" t="s">
        <v>810</v>
      </c>
      <c r="E985" s="1152"/>
      <c r="F985" s="1153"/>
      <c r="G985" s="1372"/>
      <c r="H985" s="1154"/>
      <c r="I985" s="1454">
        <f>SUM(J985:N985)</f>
        <v>500000</v>
      </c>
      <c r="J985" s="1455"/>
      <c r="K985" s="1455"/>
      <c r="L985" s="1456"/>
      <c r="M985" s="1455"/>
      <c r="N985" s="1382">
        <v>500000</v>
      </c>
      <c r="P985" s="743"/>
    </row>
    <row r="986" spans="1:16" s="768" customFormat="1" ht="18.75" customHeight="1" x14ac:dyDescent="0.3">
      <c r="A986" s="716">
        <v>978</v>
      </c>
      <c r="B986" s="762"/>
      <c r="C986" s="745"/>
      <c r="D986" s="910" t="s">
        <v>652</v>
      </c>
      <c r="E986" s="736"/>
      <c r="F986" s="736"/>
      <c r="G986" s="1369"/>
      <c r="H986" s="738"/>
      <c r="I986" s="299">
        <f>SUM(J986:Q986)</f>
        <v>0</v>
      </c>
      <c r="J986" s="1140"/>
      <c r="K986" s="1140"/>
      <c r="L986" s="1139"/>
      <c r="M986" s="1140"/>
      <c r="N986" s="1141"/>
      <c r="P986" s="743"/>
    </row>
    <row r="987" spans="1:16" s="768" customFormat="1" ht="18" customHeight="1" x14ac:dyDescent="0.3">
      <c r="A987" s="716">
        <v>979</v>
      </c>
      <c r="B987" s="1150"/>
      <c r="C987" s="1151"/>
      <c r="D987" s="1380" t="s">
        <v>858</v>
      </c>
      <c r="E987" s="1153"/>
      <c r="F987" s="1153"/>
      <c r="G987" s="1372"/>
      <c r="H987" s="1381"/>
      <c r="I987" s="1175">
        <f>SUM(J987:Q987)</f>
        <v>500000</v>
      </c>
      <c r="J987" s="1156"/>
      <c r="K987" s="1156"/>
      <c r="L987" s="1157"/>
      <c r="M987" s="1156"/>
      <c r="N987" s="1382">
        <f>SUM(N985:N986)</f>
        <v>500000</v>
      </c>
      <c r="P987" s="743"/>
    </row>
    <row r="988" spans="1:16" s="768" customFormat="1" ht="23.45" customHeight="1" x14ac:dyDescent="0.3">
      <c r="A988" s="716">
        <v>980</v>
      </c>
      <c r="B988" s="762"/>
      <c r="C988" s="745">
        <v>191</v>
      </c>
      <c r="D988" s="1146" t="s">
        <v>715</v>
      </c>
      <c r="E988" s="736"/>
      <c r="F988" s="736"/>
      <c r="G988" s="1369"/>
      <c r="H988" s="811" t="s">
        <v>24</v>
      </c>
      <c r="I988" s="443"/>
      <c r="J988" s="825"/>
      <c r="K988" s="825"/>
      <c r="L988" s="826"/>
      <c r="M988" s="825"/>
      <c r="N988" s="1141"/>
      <c r="P988" s="743"/>
    </row>
    <row r="989" spans="1:16" s="768" customFormat="1" ht="18" customHeight="1" x14ac:dyDescent="0.3">
      <c r="A989" s="716">
        <v>981</v>
      </c>
      <c r="B989" s="762"/>
      <c r="C989" s="745"/>
      <c r="D989" s="1380" t="s">
        <v>810</v>
      </c>
      <c r="E989" s="736"/>
      <c r="F989" s="736"/>
      <c r="G989" s="1369"/>
      <c r="H989" s="811"/>
      <c r="I989" s="1175">
        <f>SUM(J989:Q989)</f>
        <v>1500</v>
      </c>
      <c r="J989" s="825"/>
      <c r="K989" s="825"/>
      <c r="L989" s="1139">
        <v>1500</v>
      </c>
      <c r="M989" s="825"/>
      <c r="N989" s="1141"/>
      <c r="P989" s="743"/>
    </row>
    <row r="990" spans="1:16" s="768" customFormat="1" ht="18" customHeight="1" x14ac:dyDescent="0.3">
      <c r="A990" s="716">
        <v>982</v>
      </c>
      <c r="B990" s="762"/>
      <c r="C990" s="745"/>
      <c r="D990" s="910" t="s">
        <v>961</v>
      </c>
      <c r="E990" s="736"/>
      <c r="F990" s="736"/>
      <c r="G990" s="1369"/>
      <c r="H990" s="811"/>
      <c r="I990" s="299">
        <f>SUM(J990:Q990)</f>
        <v>1350</v>
      </c>
      <c r="J990" s="825"/>
      <c r="K990" s="825"/>
      <c r="L990" s="1140">
        <v>1350</v>
      </c>
      <c r="M990" s="825"/>
      <c r="N990" s="1141"/>
      <c r="P990" s="743"/>
    </row>
    <row r="991" spans="1:16" s="768" customFormat="1" ht="18" customHeight="1" x14ac:dyDescent="0.3">
      <c r="A991" s="716">
        <v>983</v>
      </c>
      <c r="B991" s="762"/>
      <c r="C991" s="745"/>
      <c r="D991" s="1380" t="s">
        <v>858</v>
      </c>
      <c r="E991" s="736"/>
      <c r="F991" s="736"/>
      <c r="G991" s="1369"/>
      <c r="H991" s="811"/>
      <c r="I991" s="1175">
        <f>SUM(J991:Q991)</f>
        <v>2850</v>
      </c>
      <c r="J991" s="825"/>
      <c r="K991" s="825"/>
      <c r="L991" s="1139">
        <f>SUM(L989:L990)</f>
        <v>2850</v>
      </c>
      <c r="M991" s="825"/>
      <c r="N991" s="1141"/>
      <c r="P991" s="743"/>
    </row>
    <row r="992" spans="1:16" s="768" customFormat="1" ht="23.45" customHeight="1" x14ac:dyDescent="0.3">
      <c r="A992" s="716">
        <v>984</v>
      </c>
      <c r="B992" s="762"/>
      <c r="C992" s="745">
        <v>192</v>
      </c>
      <c r="D992" s="1146" t="s">
        <v>717</v>
      </c>
      <c r="E992" s="736"/>
      <c r="F992" s="736"/>
      <c r="G992" s="1369"/>
      <c r="H992" s="811" t="s">
        <v>23</v>
      </c>
      <c r="I992" s="1175"/>
      <c r="J992" s="825"/>
      <c r="K992" s="825"/>
      <c r="L992" s="1139"/>
      <c r="M992" s="825"/>
      <c r="N992" s="1141"/>
      <c r="P992" s="743"/>
    </row>
    <row r="993" spans="1:16" s="768" customFormat="1" ht="18" customHeight="1" x14ac:dyDescent="0.3">
      <c r="A993" s="716">
        <v>985</v>
      </c>
      <c r="B993" s="762"/>
      <c r="C993" s="745"/>
      <c r="D993" s="1380" t="s">
        <v>810</v>
      </c>
      <c r="E993" s="736"/>
      <c r="F993" s="736"/>
      <c r="G993" s="1369"/>
      <c r="H993" s="811"/>
      <c r="I993" s="1175">
        <f>SUM(J993:Q993)</f>
        <v>500</v>
      </c>
      <c r="J993" s="825"/>
      <c r="K993" s="825"/>
      <c r="L993" s="1139"/>
      <c r="M993" s="825"/>
      <c r="N993" s="1141">
        <v>500</v>
      </c>
      <c r="P993" s="743"/>
    </row>
    <row r="994" spans="1:16" s="768" customFormat="1" ht="18" customHeight="1" x14ac:dyDescent="0.3">
      <c r="A994" s="716">
        <v>986</v>
      </c>
      <c r="B994" s="762"/>
      <c r="C994" s="745"/>
      <c r="D994" s="910" t="s">
        <v>652</v>
      </c>
      <c r="E994" s="736"/>
      <c r="F994" s="736"/>
      <c r="G994" s="1369"/>
      <c r="H994" s="811"/>
      <c r="I994" s="299">
        <f>SUM(J994:Q994)</f>
        <v>0</v>
      </c>
      <c r="J994" s="825"/>
      <c r="K994" s="825"/>
      <c r="L994" s="1139"/>
      <c r="M994" s="825"/>
      <c r="N994" s="1149"/>
      <c r="P994" s="743"/>
    </row>
    <row r="995" spans="1:16" s="768" customFormat="1" ht="18" customHeight="1" x14ac:dyDescent="0.3">
      <c r="A995" s="716">
        <v>987</v>
      </c>
      <c r="B995" s="762"/>
      <c r="C995" s="745"/>
      <c r="D995" s="1380" t="s">
        <v>858</v>
      </c>
      <c r="E995" s="736"/>
      <c r="F995" s="736"/>
      <c r="G995" s="1369"/>
      <c r="H995" s="811"/>
      <c r="I995" s="1175">
        <f>SUM(J995:Q995)</f>
        <v>500</v>
      </c>
      <c r="J995" s="825"/>
      <c r="K995" s="825"/>
      <c r="L995" s="1139"/>
      <c r="M995" s="825"/>
      <c r="N995" s="1141">
        <f>SUM(N993:N994)</f>
        <v>500</v>
      </c>
      <c r="P995" s="743"/>
    </row>
    <row r="996" spans="1:16" s="768" customFormat="1" ht="22.5" customHeight="1" x14ac:dyDescent="0.3">
      <c r="A996" s="716">
        <v>988</v>
      </c>
      <c r="B996" s="762"/>
      <c r="C996" s="745">
        <v>193</v>
      </c>
      <c r="D996" s="1146" t="s">
        <v>720</v>
      </c>
      <c r="E996" s="736"/>
      <c r="F996" s="736"/>
      <c r="G996" s="1369"/>
      <c r="H996" s="811" t="s">
        <v>24</v>
      </c>
      <c r="I996" s="1175"/>
      <c r="J996" s="825"/>
      <c r="K996" s="825"/>
      <c r="L996" s="1139"/>
      <c r="M996" s="825"/>
      <c r="N996" s="1141"/>
      <c r="P996" s="743"/>
    </row>
    <row r="997" spans="1:16" s="768" customFormat="1" ht="18" customHeight="1" x14ac:dyDescent="0.3">
      <c r="A997" s="716">
        <v>989</v>
      </c>
      <c r="B997" s="762"/>
      <c r="C997" s="745"/>
      <c r="D997" s="1380" t="s">
        <v>810</v>
      </c>
      <c r="E997" s="736"/>
      <c r="F997" s="736"/>
      <c r="G997" s="1369"/>
      <c r="H997" s="811"/>
      <c r="I997" s="1175">
        <f>SUM(J997:Q997)</f>
        <v>10000</v>
      </c>
      <c r="J997" s="825"/>
      <c r="K997" s="825"/>
      <c r="L997" s="1139">
        <v>10000</v>
      </c>
      <c r="M997" s="825"/>
      <c r="N997" s="1141"/>
      <c r="P997" s="743"/>
    </row>
    <row r="998" spans="1:16" s="768" customFormat="1" ht="18" customHeight="1" x14ac:dyDescent="0.3">
      <c r="A998" s="716">
        <v>990</v>
      </c>
      <c r="B998" s="762"/>
      <c r="C998" s="745"/>
      <c r="D998" s="910" t="s">
        <v>652</v>
      </c>
      <c r="E998" s="736"/>
      <c r="F998" s="736"/>
      <c r="G998" s="1369"/>
      <c r="H998" s="811"/>
      <c r="I998" s="299">
        <f>SUM(J998:Q998)</f>
        <v>0</v>
      </c>
      <c r="J998" s="825"/>
      <c r="K998" s="825"/>
      <c r="L998" s="1140"/>
      <c r="M998" s="825"/>
      <c r="N998" s="1115"/>
      <c r="P998" s="743"/>
    </row>
    <row r="999" spans="1:16" s="768" customFormat="1" ht="18" customHeight="1" x14ac:dyDescent="0.3">
      <c r="A999" s="716">
        <v>991</v>
      </c>
      <c r="B999" s="840"/>
      <c r="C999" s="745"/>
      <c r="D999" s="1146" t="s">
        <v>858</v>
      </c>
      <c r="E999" s="736"/>
      <c r="F999" s="736"/>
      <c r="G999" s="1369"/>
      <c r="H999" s="811"/>
      <c r="I999" s="443">
        <f>SUM(J999:Q999)</f>
        <v>10000</v>
      </c>
      <c r="J999" s="825"/>
      <c r="K999" s="825"/>
      <c r="L999" s="1139">
        <f>SUM(L997:L998)</f>
        <v>10000</v>
      </c>
      <c r="M999" s="825"/>
      <c r="N999" s="1117"/>
      <c r="P999" s="743"/>
    </row>
    <row r="1000" spans="1:16" s="768" customFormat="1" ht="31.5" customHeight="1" x14ac:dyDescent="0.3">
      <c r="A1000" s="716">
        <v>992</v>
      </c>
      <c r="B1000" s="762"/>
      <c r="C1000" s="763">
        <v>194</v>
      </c>
      <c r="D1000" s="1683" t="s">
        <v>832</v>
      </c>
      <c r="E1000" s="736"/>
      <c r="F1000" s="736"/>
      <c r="G1000" s="1369"/>
      <c r="H1000" s="811" t="s">
        <v>24</v>
      </c>
      <c r="I1000" s="1175"/>
      <c r="J1000" s="825"/>
      <c r="K1000" s="825"/>
      <c r="L1000" s="1139"/>
      <c r="M1000" s="825"/>
      <c r="N1000" s="1141"/>
      <c r="P1000" s="743"/>
    </row>
    <row r="1001" spans="1:16" s="768" customFormat="1" ht="18" customHeight="1" x14ac:dyDescent="0.3">
      <c r="A1001" s="716">
        <v>993</v>
      </c>
      <c r="B1001" s="762"/>
      <c r="C1001" s="763"/>
      <c r="D1001" s="1683" t="s">
        <v>810</v>
      </c>
      <c r="E1001" s="736"/>
      <c r="F1001" s="736"/>
      <c r="G1001" s="1369"/>
      <c r="H1001" s="811"/>
      <c r="I1001" s="1175">
        <f>SUM(J1001:Q1001)</f>
        <v>1500</v>
      </c>
      <c r="J1001" s="825"/>
      <c r="K1001" s="825"/>
      <c r="L1001" s="1139"/>
      <c r="M1001" s="825"/>
      <c r="N1001" s="1141">
        <v>1500</v>
      </c>
      <c r="P1001" s="743"/>
    </row>
    <row r="1002" spans="1:16" s="768" customFormat="1" ht="18" customHeight="1" x14ac:dyDescent="0.3">
      <c r="A1002" s="716">
        <v>994</v>
      </c>
      <c r="B1002" s="840"/>
      <c r="C1002" s="745"/>
      <c r="D1002" s="910" t="s">
        <v>652</v>
      </c>
      <c r="E1002" s="736"/>
      <c r="F1002" s="736"/>
      <c r="G1002" s="1369"/>
      <c r="H1002" s="811"/>
      <c r="I1002" s="299">
        <f>SUM(J1002:Q1002)</f>
        <v>0</v>
      </c>
      <c r="J1002" s="825"/>
      <c r="K1002" s="825"/>
      <c r="L1002" s="1140"/>
      <c r="M1002" s="825"/>
      <c r="N1002" s="1115"/>
      <c r="P1002" s="743"/>
    </row>
    <row r="1003" spans="1:16" s="768" customFormat="1" ht="18" customHeight="1" x14ac:dyDescent="0.3">
      <c r="A1003" s="716">
        <v>995</v>
      </c>
      <c r="B1003" s="841"/>
      <c r="C1003" s="1151"/>
      <c r="D1003" s="1380" t="s">
        <v>858</v>
      </c>
      <c r="E1003" s="1153"/>
      <c r="F1003" s="1153"/>
      <c r="G1003" s="1372"/>
      <c r="H1003" s="811"/>
      <c r="I1003" s="443">
        <f>SUM(J1003:Q1003)</f>
        <v>1500</v>
      </c>
      <c r="J1003" s="825"/>
      <c r="K1003" s="825"/>
      <c r="L1003" s="1139"/>
      <c r="M1003" s="825"/>
      <c r="N1003" s="1117">
        <f>SUM(N1001:N1002)</f>
        <v>1500</v>
      </c>
      <c r="P1003" s="743"/>
    </row>
    <row r="1004" spans="1:16" s="768" customFormat="1" ht="22.5" customHeight="1" x14ac:dyDescent="0.3">
      <c r="A1004" s="716">
        <v>996</v>
      </c>
      <c r="B1004" s="762"/>
      <c r="C1004" s="745">
        <v>195</v>
      </c>
      <c r="D1004" s="1146" t="s">
        <v>833</v>
      </c>
      <c r="E1004" s="736"/>
      <c r="F1004" s="736"/>
      <c r="G1004" s="1369"/>
      <c r="H1004" s="811" t="s">
        <v>24</v>
      </c>
      <c r="I1004" s="1175"/>
      <c r="J1004" s="825"/>
      <c r="K1004" s="825"/>
      <c r="L1004" s="1139"/>
      <c r="M1004" s="825"/>
      <c r="N1004" s="1141"/>
      <c r="P1004" s="743"/>
    </row>
    <row r="1005" spans="1:16" s="768" customFormat="1" ht="18" customHeight="1" x14ac:dyDescent="0.3">
      <c r="A1005" s="716">
        <v>997</v>
      </c>
      <c r="B1005" s="762"/>
      <c r="C1005" s="745"/>
      <c r="D1005" s="1146" t="s">
        <v>810</v>
      </c>
      <c r="E1005" s="736"/>
      <c r="F1005" s="736"/>
      <c r="G1005" s="1369"/>
      <c r="H1005" s="811"/>
      <c r="I1005" s="1175">
        <f>SUM(J1005:Q1005)</f>
        <v>3000</v>
      </c>
      <c r="J1005" s="825"/>
      <c r="K1005" s="825"/>
      <c r="L1005" s="1139"/>
      <c r="M1005" s="825"/>
      <c r="N1005" s="1141">
        <v>3000</v>
      </c>
      <c r="P1005" s="743"/>
    </row>
    <row r="1006" spans="1:16" s="768" customFormat="1" ht="18" customHeight="1" x14ac:dyDescent="0.3">
      <c r="A1006" s="716">
        <v>998</v>
      </c>
      <c r="B1006" s="840"/>
      <c r="C1006" s="745"/>
      <c r="D1006" s="910" t="s">
        <v>652</v>
      </c>
      <c r="E1006" s="736"/>
      <c r="F1006" s="736"/>
      <c r="G1006" s="1369"/>
      <c r="H1006" s="811"/>
      <c r="I1006" s="299">
        <f>SUM(J1006:Q1006)</f>
        <v>0</v>
      </c>
      <c r="J1006" s="825"/>
      <c r="K1006" s="825"/>
      <c r="L1006" s="1140"/>
      <c r="M1006" s="825"/>
      <c r="N1006" s="1115"/>
      <c r="P1006" s="743"/>
    </row>
    <row r="1007" spans="1:16" s="768" customFormat="1" ht="18" customHeight="1" x14ac:dyDescent="0.3">
      <c r="A1007" s="716">
        <v>999</v>
      </c>
      <c r="B1007" s="840"/>
      <c r="C1007" s="1151"/>
      <c r="D1007" s="1380" t="s">
        <v>858</v>
      </c>
      <c r="E1007" s="1153"/>
      <c r="F1007" s="1153"/>
      <c r="G1007" s="1372"/>
      <c r="H1007" s="811"/>
      <c r="I1007" s="443">
        <f>SUM(J1007:Q1007)</f>
        <v>3000</v>
      </c>
      <c r="J1007" s="825"/>
      <c r="K1007" s="825"/>
      <c r="L1007" s="1139"/>
      <c r="M1007" s="825"/>
      <c r="N1007" s="1117">
        <f>SUM(N1005:N1006)</f>
        <v>3000</v>
      </c>
      <c r="P1007" s="743"/>
    </row>
    <row r="1008" spans="1:16" s="768" customFormat="1" ht="22.5" customHeight="1" x14ac:dyDescent="0.3">
      <c r="A1008" s="716">
        <v>1000</v>
      </c>
      <c r="B1008" s="840"/>
      <c r="C1008" s="745">
        <v>196</v>
      </c>
      <c r="D1008" s="1146" t="s">
        <v>834</v>
      </c>
      <c r="E1008" s="736"/>
      <c r="F1008" s="736"/>
      <c r="G1008" s="1369"/>
      <c r="H1008" s="811" t="s">
        <v>23</v>
      </c>
      <c r="I1008" s="1175"/>
      <c r="J1008" s="825"/>
      <c r="K1008" s="825"/>
      <c r="L1008" s="1139"/>
      <c r="M1008" s="825"/>
      <c r="N1008" s="1141"/>
      <c r="P1008" s="743"/>
    </row>
    <row r="1009" spans="1:16" s="768" customFormat="1" ht="18" customHeight="1" x14ac:dyDescent="0.3">
      <c r="A1009" s="716">
        <v>1001</v>
      </c>
      <c r="B1009" s="840"/>
      <c r="C1009" s="745"/>
      <c r="D1009" s="1146" t="s">
        <v>810</v>
      </c>
      <c r="E1009" s="736"/>
      <c r="F1009" s="736"/>
      <c r="G1009" s="1369"/>
      <c r="H1009" s="811"/>
      <c r="I1009" s="1175">
        <f>SUM(J1009:Q1009)</f>
        <v>16000</v>
      </c>
      <c r="J1009" s="825"/>
      <c r="K1009" s="825"/>
      <c r="L1009" s="1139">
        <v>16000</v>
      </c>
      <c r="M1009" s="825"/>
      <c r="N1009" s="1141"/>
      <c r="P1009" s="743"/>
    </row>
    <row r="1010" spans="1:16" s="768" customFormat="1" ht="18" customHeight="1" x14ac:dyDescent="0.3">
      <c r="A1010" s="716">
        <v>1002</v>
      </c>
      <c r="B1010" s="840"/>
      <c r="C1010" s="745"/>
      <c r="D1010" s="910" t="s">
        <v>652</v>
      </c>
      <c r="E1010" s="736"/>
      <c r="F1010" s="736"/>
      <c r="G1010" s="1369"/>
      <c r="H1010" s="811"/>
      <c r="I1010" s="299">
        <f>SUM(J1010:Q1010)</f>
        <v>0</v>
      </c>
      <c r="J1010" s="825"/>
      <c r="K1010" s="825"/>
      <c r="L1010" s="1140"/>
      <c r="M1010" s="825"/>
      <c r="N1010" s="1115"/>
      <c r="P1010" s="743"/>
    </row>
    <row r="1011" spans="1:16" s="768" customFormat="1" ht="18" customHeight="1" x14ac:dyDescent="0.3">
      <c r="A1011" s="716">
        <v>1003</v>
      </c>
      <c r="B1011" s="840"/>
      <c r="C1011" s="1151"/>
      <c r="D1011" s="1380" t="s">
        <v>858</v>
      </c>
      <c r="E1011" s="1153"/>
      <c r="F1011" s="1153"/>
      <c r="G1011" s="1372"/>
      <c r="H1011" s="811"/>
      <c r="I1011" s="443">
        <f>SUM(J1011:Q1011)</f>
        <v>16000</v>
      </c>
      <c r="J1011" s="825"/>
      <c r="K1011" s="825"/>
      <c r="L1011" s="1139">
        <f>SUM(L1009:L1010)</f>
        <v>16000</v>
      </c>
      <c r="M1011" s="825"/>
      <c r="N1011" s="1117"/>
      <c r="P1011" s="743"/>
    </row>
    <row r="1012" spans="1:16" s="768" customFormat="1" ht="22.5" customHeight="1" x14ac:dyDescent="0.3">
      <c r="A1012" s="716">
        <v>1004</v>
      </c>
      <c r="B1012" s="840"/>
      <c r="C1012" s="745">
        <v>197</v>
      </c>
      <c r="D1012" s="1146" t="s">
        <v>835</v>
      </c>
      <c r="E1012" s="736"/>
      <c r="F1012" s="736"/>
      <c r="G1012" s="1369"/>
      <c r="H1012" s="811" t="s">
        <v>24</v>
      </c>
      <c r="I1012" s="1175"/>
      <c r="J1012" s="825"/>
      <c r="K1012" s="825"/>
      <c r="L1012" s="1139"/>
      <c r="M1012" s="825"/>
      <c r="N1012" s="1141"/>
      <c r="P1012" s="743"/>
    </row>
    <row r="1013" spans="1:16" s="768" customFormat="1" ht="18" customHeight="1" x14ac:dyDescent="0.3">
      <c r="A1013" s="716">
        <v>1005</v>
      </c>
      <c r="B1013" s="840"/>
      <c r="C1013" s="745"/>
      <c r="D1013" s="1146" t="s">
        <v>810</v>
      </c>
      <c r="E1013" s="736"/>
      <c r="F1013" s="736"/>
      <c r="G1013" s="1369"/>
      <c r="H1013" s="811"/>
      <c r="I1013" s="1175">
        <f>SUM(J1013:Q1013)</f>
        <v>5000</v>
      </c>
      <c r="J1013" s="1139">
        <v>3758</v>
      </c>
      <c r="K1013" s="1139">
        <v>1242</v>
      </c>
      <c r="L1013" s="1139"/>
      <c r="M1013" s="825"/>
      <c r="N1013" s="1141"/>
      <c r="P1013" s="743"/>
    </row>
    <row r="1014" spans="1:16" s="768" customFormat="1" ht="18" customHeight="1" x14ac:dyDescent="0.3">
      <c r="A1014" s="716">
        <v>1006</v>
      </c>
      <c r="B1014" s="840"/>
      <c r="C1014" s="745"/>
      <c r="D1014" s="910" t="s">
        <v>909</v>
      </c>
      <c r="E1014" s="736"/>
      <c r="F1014" s="736"/>
      <c r="G1014" s="1369"/>
      <c r="H1014" s="811"/>
      <c r="I1014" s="299">
        <f>SUM(J1014:Q1014)</f>
        <v>650</v>
      </c>
      <c r="J1014" s="299">
        <f>592+650</f>
        <v>1242</v>
      </c>
      <c r="K1014" s="299">
        <v>-592</v>
      </c>
      <c r="L1014" s="1140"/>
      <c r="M1014" s="825"/>
      <c r="N1014" s="1115"/>
      <c r="P1014" s="743"/>
    </row>
    <row r="1015" spans="1:16" s="768" customFormat="1" ht="18" customHeight="1" thickBot="1" x14ac:dyDescent="0.35">
      <c r="A1015" s="716">
        <v>1007</v>
      </c>
      <c r="B1015" s="1534"/>
      <c r="C1015" s="1535"/>
      <c r="D1015" s="1159" t="s">
        <v>858</v>
      </c>
      <c r="E1015" s="1536"/>
      <c r="F1015" s="1536"/>
      <c r="G1015" s="1537"/>
      <c r="H1015" s="1538"/>
      <c r="I1015" s="918">
        <f>SUM(J1015:Q1015)</f>
        <v>5650</v>
      </c>
      <c r="J1015" s="918">
        <f>SUM(J1013:J1014)</f>
        <v>5000</v>
      </c>
      <c r="K1015" s="918">
        <f>SUM(K1013:K1014)</f>
        <v>650</v>
      </c>
      <c r="L1015" s="1539"/>
      <c r="M1015" s="1540"/>
      <c r="N1015" s="1541"/>
      <c r="P1015" s="743"/>
    </row>
    <row r="1016" spans="1:16" s="768" customFormat="1" ht="27" customHeight="1" thickTop="1" x14ac:dyDescent="0.3">
      <c r="A1016" s="716">
        <v>1008</v>
      </c>
      <c r="B1016" s="841"/>
      <c r="C1016" s="842"/>
      <c r="D1016" s="1949" t="s">
        <v>13</v>
      </c>
      <c r="E1016" s="1950"/>
      <c r="F1016" s="1950"/>
      <c r="G1016" s="1951"/>
      <c r="H1016" s="705"/>
      <c r="I1016" s="1383"/>
      <c r="J1016" s="843"/>
      <c r="K1016" s="843"/>
      <c r="L1016" s="844"/>
      <c r="M1016" s="843"/>
      <c r="N1016" s="845"/>
      <c r="P1016" s="743"/>
    </row>
    <row r="1017" spans="1:16" s="701" customFormat="1" ht="20.100000000000001" customHeight="1" x14ac:dyDescent="0.35">
      <c r="A1017" s="716">
        <v>1009</v>
      </c>
      <c r="B1017" s="1163"/>
      <c r="C1017" s="1164"/>
      <c r="D1017" s="1165" t="s">
        <v>245</v>
      </c>
      <c r="E1017" s="1166"/>
      <c r="F1017" s="1167"/>
      <c r="G1017" s="1373"/>
      <c r="H1017" s="1168"/>
      <c r="I1017" s="1168">
        <f>SUM(J1017:N1017)</f>
        <v>15016162</v>
      </c>
      <c r="J1017" s="1168">
        <f>J984+J979+J974+J969+J964+J959+J954+J949+J944+J939+J934+J929+J923+J907+J896+J890+J882+J871+J866+J858+J848+J843+J838+J833+J828+J822+J816+J810+J805+J793+J788+J783+J778+J773+J767+J762+J757+J727+J722+J717+J712+J707+J702+J697+J692+J687+J682+J677+J672+J667+J662+J657+J652+J646+J641+J636+J630+J625+J620+J615+J610+J604+J599+J594+J589+J583+J578+J573+J568+J563+J558+J552+J547+J542+J537+J528+J523+J518+J513+J508+J503+J498+J493+J488+J483+J478+J473+J468+J462+J456+J449+J444+J439+J434+J429+J424+J419+J367+J362+J357+J352+J319+J289+J284+J279+J274+J269+J264+J259+J253+J248+J242+J237+J232+J227+J187+J181+J176+J171+J126+J121+J116+J111+J106+J41+J36+J31+J26+J21+J16+J11</f>
        <v>501713</v>
      </c>
      <c r="K1017" s="1168">
        <f>K984+K979+K974+K969+K964+K959+K954+K949+K944+K939+K934+K929+K923+K907+K896+K890+K882+K871+K866+K858+K848+K843+K838+K833+K828+K822+K816+K810+K805+K793+K788+K783+K778+K773+K767+K762+K757+K727+K722+K717+K712+K707+K702+K697+K692+K687+K682+K677+K672+K667+K662+K657+K652+K646+K641+K636+K630+K625+K620+K615+K610+K604+K599+K594+K589+K583+K578+K573+K568+K563+K558+K552+K547+K542+K537+K528+K523+K518+K513+K508+K503+K498+K493+K488+K483+K478+K473+K468+K462+K456+K449+K444+K439+K434+K429+K424+K419+K367+K362+K357+K352+K319+K289+K284+K279+K274+K269+K264+K259+K253+K248+K242+K237+K232+K227+K187+K181+K176+K171+K126+K121+K116+K111+K106+K41+K36+K31+K26+K21+K16+K11</f>
        <v>90682</v>
      </c>
      <c r="L1017" s="1168">
        <f>L984+L979+L974+L969+L964+L959+L954+L949+L944+L939+L934+L929+L923+L907+L896+L890+L882+L871+L866+L858+L848+L843+L838+L833+L828+L822+L816+L810+L805+L793+L788+L783+L778+L773+L767+L762+L757+L727+L722+L717+L712+L707+L702+L697+L692+L687+L682+L677+L672+L667+L662+L657+L652+L646+L641+L636+L630+L625+L620+L615+L610+L604+L599+L594+L589+L583+L578+L573+L568+L563+L558+L552+L547+L542+L537+L528+L523+L518+L513+L508+L503+L498+L493+L488+L483+L478+L473+L468+L462+L456+L449+L444+L439+L434+L429+L424+L419+L367+L362+L357+L352+L319+L289+L284+L279+L274+L269+L264+L259+L253+L248+L242+L237+L232+L227+L187+L181+L176+L171+L126+L121+L116+L111+L106+L41+L36+L31+L26+L21+L16+L11</f>
        <v>4329397</v>
      </c>
      <c r="M1017" s="1168">
        <f>M984+M979+M974+M969+M964+M959+M954+M949+M944+M939+M934+M929+M923+M907+M896+M890+M882+M871+M866+M858+M848+M843+M838+M833+M828+M822+M816+M810+M805+M793+M788+M783+M778+M773+M767+M762+M757+M727+M722+M717+M712+M707+M702+M697+M692+M687+M682+M677+M672+M667+M662+M657+M652+M646+M641+M636+M630+M625+M620+M615+M610+M604+M599+M594+M589+M583+M578+M573+M568+M563+M558+M552+M547+M542+M537+M528+M523+M518+M513+M508+M503+M498+M493+M488+M483+M478+M473+M468+M462+M456+M449+M444+M439+M434+M429+M424+M419+M367+M362+M357+M352+M319+M289+M284+M279+M274+M269+M264+M259+M253+M248+M242+M237+M232+M227+M187+M181+M176+M171+M126+M121+M116+M111+M106+M41+M36+M31+M26+M21+M16+M11</f>
        <v>35385</v>
      </c>
      <c r="N1017" s="1169">
        <f>N984+N979+N974+N969+N964+N959+N954+N949+N944+N939+N934+N929+N923+N907+N896+N890+N882+N871+N866+N858+N848+N843+N838+N833+N828+N822+N816+N810+N805+N793+N788+N783+N778+N773+N767+N762+N757+N727+N722+N717+N712+N707+N702+N697+N692+N687+N682+N677+N672+N667+N662+N657+N652+N646+N641+N636+N630+N625+N620+N615+N610+N604+N599+N594+N589+N583+N578+N573+N568+N563+N558+N552+N547+N542+N537+N528+N523+N518+N513+N508+N503+N498+N493+N488+N483+N478+N473+N468+N462+N456+N449+N444+N439+N434+N429+N424+N419+N367+N362+N357+N352+N319+N289+N284+N279+N274+N269+N264+N259+N253+N248+N242+N237+N232+N227+N187+N181+N176+N171+N126+N121+N116+N111+N106+N41+N36+N31+N26+N21+N16+N11</f>
        <v>10058985</v>
      </c>
      <c r="O1017" s="702"/>
      <c r="P1017" s="743"/>
    </row>
    <row r="1018" spans="1:16" s="701" customFormat="1" ht="20.100000000000001" customHeight="1" x14ac:dyDescent="0.35">
      <c r="A1018" s="716">
        <v>1010</v>
      </c>
      <c r="B1018" s="1163"/>
      <c r="C1018" s="1164"/>
      <c r="D1018" s="1380" t="s">
        <v>810</v>
      </c>
      <c r="E1018" s="1166"/>
      <c r="F1018" s="1167"/>
      <c r="G1018" s="1457"/>
      <c r="H1018" s="1168"/>
      <c r="I1018" s="1459">
        <f>SUM(J1018:N1018)</f>
        <v>15401367</v>
      </c>
      <c r="J1018" s="1459">
        <f>J985+J980+J975+J970+J965+J960+J955+J950+J945+J940+J935+J930+J924+J908+J897+J891+J883+J872+J867+J859+J849+J844+J839+J834+J829+J823+J817+J811+J806+J794+J789+J784+J779+J774+J768+J763+J758+J728+J723+J718+J713+J708+J703+J698+J693+J688+J683+J678+J673+J668+J663+J658+J653+J647+J642+J637+J631+J626+J621+J616+J611+J605+J600+J595+J590+J584+J579+J574+J569+J564+J559+J553+J548+J543+J538+J529+J524+J519+J514+J509+J504+J499+J494+J489+J484+J479+J474+J469+J463+J457+J450+J445+J440+J435+J430+J425+J420+J368+J363+J358+J353+J320+J290+J285+J280+J275+J270+J265+J260+J254+J249+J243+J238+J233+J228+J188+J182+J177+J172+J127+J122+J117+J112+J107+J42+J37+J32+J27+J22+J17+J12+J989+J993+J997+J917+J912+J903+J876+J853+J533+J1001+J1005+J1009+J1013</f>
        <v>513139</v>
      </c>
      <c r="K1018" s="1459">
        <f>K985+K980+K975+K970+K965+K960+K955+K950+K945+K940+K935+K930+K924+K908+K897+K891+K883+K872+K867+K859+K849+K844+K839+K834+K829+K823+K817+K811+K806+K794+K789+K784+K779+K774+K768+K763+K758+K728+K723+K718+K713+K708+K703+K698+K693+K688+K683+K678+K673+K668+K663+K658+K653+K647+K642+K637+K631+K626+K621+K616+K611+K605+K600+K595+K590+K584+K579+K574+K569+K564+K559+K553+K548+K543+K538+K529+K524+K519+K514+K509+K504+K499+K494+K489+K484+K479+K474+K469+K463+K457+K450+K445+K440+K435+K430+K425+K420+K368+K363+K358+K353+K320+K290+K285+K280+K275+K270+K265+K260+K254+K249+K243+K238+K233+K228+K188+K182+K177+K172+K127+K122+K117+K112+K107+K42+K37+K32+K27+K22+K17+K12+K989+K993+K997+K917+K912+K903+K876+K853+K533+K1001+K1005+K1009+K1013</f>
        <v>94199</v>
      </c>
      <c r="L1018" s="1459">
        <f>L985+L980+L975+L970+L965+L960+L955+L950+L945+L940+L935+L930+L924+L908+L897+L891+L883+L872+L867+L859+L849+L844+L839+L834+L829+L823+L817+L811+L806+L794+L789+L784+L779+L774+L768+L763+L758+L728+L723+L718+L713+L708+L703+L698+L693+L688+L683+L678+L673+L668+L663+L658+L653+L647+L642+L637+L631+L626+L621+L616+L611+L605+L600+L595+L590+L584+L579+L574+L569+L564+L559+L553+L548+L543+L538+L529+L524+L519+L514+L509+L504+L499+L494+L489+L484+L479+L474+L469+L463+L457+L450+L445+L440+L435+L430+L425+L420+L368+L363+L358+L353+L320+L290+L285+L280+L275+L270+L265+L260+L254+L249+L243+L238+L233+L228+L188+L182+L177+L172+L127+L122+L117+L112+L107+L42+L37+L32+L27+L22+L17+L12+L989+L993+L997+L917+L912+L903+L876+L853+L533+L1001+L1005+L1009+L1013</f>
        <v>4466864</v>
      </c>
      <c r="M1018" s="1459">
        <f>M985+M980+M975+M970+M965+M960+M955+M950+M945+M940+M935+M930+M924+M908+M897+M891+M883+M872+M867+M859+M849+M844+M839+M834+M829+M823+M817+M811+M806+M794+M789+M784+M779+M774+M768+M763+M758+M728+M723+M718+M713+M708+M703+M698+M693+M688+M683+M678+M673+M668+M663+M658+M653+M647+M642+M637+M631+M626+M621+M616+M611+M605+M600+M595+M590+M584+M579+M574+M569+M564+M559+M553+M548+M543+M538+M529+M524+M519+M514+M509+M504+M499+M494+M489+M484+M479+M474+M469+M463+M457+M450+M445+M440+M435+M430+M425+M420+M368+M363+M358+M353+M320+M290+M285+M280+M275+M270+M265+M260+M254+M249+M243+M238+M233+M228+M188+M182+M177+M172+M127+M122+M117+M112+M107+M42+M37+M32+M27+M22+M17+M12+M989+M993+M997+M917+M912+M903+M876+M853+M533+M1001+M1005+M1009+M1013</f>
        <v>47385</v>
      </c>
      <c r="N1018" s="1821">
        <f>N985+N980+N975+N970+N965+N960+N955+N950+N945+N940+N935+N930+N924+N908+N897+N891+N883+N872+N867+N859+N849+N844+N839+N834+N829+N823+N817+N811+N806+N794+N789+N784+N779+N774+N768+N763+N758+N728+N723+N718+N713+N708+N703+N698+N693+N688+N683+N678+N673+N668+N663+N658+N653+N647+N642+N637+N631+N626+N621+N616+N611+N605+N600+N595+N590+N584+N579+N574+N569+N564+N559+N553+N548+N543+N538+N529+N524+N519+N514+N509+N504+N499+N494+N489+N484+N479+N474+N469+N463+N457+N450+N445+N440+N435+N430+N425+N420+N368+N363+N358+N353+N320+N290+N285+N280+N275+N270+N265+N260+N254+N249+N243+N238+N233+N228+N188+N182+N177+N172+N127+N122+N117+N112+N107+N42+N37+N32+N27+N22+N17+N12+N989+N993+N997+N917+N912+N903+N876+N853+N533+N1001+N1005+N1009+N1013</f>
        <v>10279780</v>
      </c>
      <c r="O1018" s="702"/>
      <c r="P1018" s="743"/>
    </row>
    <row r="1019" spans="1:16" s="701" customFormat="1" ht="20.100000000000001" customHeight="1" x14ac:dyDescent="0.35">
      <c r="A1019" s="716">
        <v>1011</v>
      </c>
      <c r="B1019" s="794"/>
      <c r="C1019" s="1170"/>
      <c r="D1019" s="910" t="s">
        <v>652</v>
      </c>
      <c r="E1019" s="1172"/>
      <c r="F1019" s="1173"/>
      <c r="G1019" s="1374"/>
      <c r="H1019" s="1171"/>
      <c r="I1019" s="1194">
        <f>SUM(J1019:N1019)</f>
        <v>35423</v>
      </c>
      <c r="J1019" s="1194">
        <f>J986+J981+J976+J971+J966+J961+J956+J951+J946+J941+J936+J931+J925+J909+J898+J892+J884+J873+J868+J860+J850+J845+J840+J835+J830+J824+J818+J812+J807+J790+J785+J780+J775+J769+J764+J759+J729+J724+J719+J714+J709+J704+J699+J694+J689+J684+J679+J674+J669+J664+J659+J654+J648+J643+J638+J632+J627+J622+J617+J612+J606+J601+J596+J591+J585+J580+J575+J570+J565+J560+J554+J549+J544+J539+J530+J525+J520+J515+J510+J505+J500+J495+J490+J485+J480+J475+J470+J464+J458+J451+J446+J441+J436+J431+J426+J421+J369+J364+J359+J354+J321+J291+J286+J281+J276+J271+J266+J261+J255+J250+J244+J239+J234+J229+J189+J183+J178+J173+J128+J123+J118+J113+J108+J43+J38+J33+J28+J23+J18+J13+J452+J913+J795+J534+J918+J854+J877+J990+J904+J994+J998+J1002+J1006+J1010+J1014+J796+J798+J799+J800+J801+J797</f>
        <v>4418</v>
      </c>
      <c r="K1019" s="1194">
        <f t="shared" ref="K1019:N1019" si="32">K986+K981+K976+K971+K966+K961+K956+K951+K946+K941+K936+K931+K925+K909+K898+K892+K884+K873+K868+K860+K850+K845+K840+K835+K830+K824+K818+K812+K807+K790+K785+K780+K775+K769+K764+K759+K729+K724+K719+K714+K709+K704+K699+K694+K689+K684+K679+K674+K669+K664+K659+K654+K648+K643+K638+K632+K627+K622+K617+K612+K606+K601+K596+K591+K585+K580+K575+K570+K565+K560+K554+K549+K544+K539+K530+K525+K520+K515+K510+K505+K500+K495+K490+K485+K480+K475+K470+K464+K458+K451+K446+K441+K436+K431+K426+K421+K369+K364+K359+K354+K321+K291+K286+K281+K276+K271+K266+K261+K255+K250+K244+K239+K234+K229+K189+K183+K178+K173+K128+K123+K118+K113+K108+K43+K38+K33+K28+K23+K18+K13+K452+K913+K795+K534+K918+K854+K877+K990+K904+K994+K998+K1002+K1006+K1010+K1014+K796+K798+K799+K800+K801+K797</f>
        <v>585</v>
      </c>
      <c r="L1019" s="1194">
        <f t="shared" si="32"/>
        <v>7224</v>
      </c>
      <c r="M1019" s="1194">
        <f t="shared" si="32"/>
        <v>-192</v>
      </c>
      <c r="N1019" s="1822">
        <f t="shared" si="32"/>
        <v>23388</v>
      </c>
      <c r="O1019" s="702"/>
      <c r="P1019" s="743"/>
    </row>
    <row r="1020" spans="1:16" s="701" customFormat="1" ht="20.100000000000001" customHeight="1" thickBot="1" x14ac:dyDescent="0.4">
      <c r="A1020" s="716">
        <v>1012</v>
      </c>
      <c r="B1020" s="1160"/>
      <c r="C1020" s="1161"/>
      <c r="D1020" s="1159" t="s">
        <v>858</v>
      </c>
      <c r="E1020" s="846"/>
      <c r="F1020" s="1174"/>
      <c r="G1020" s="1375"/>
      <c r="H1020" s="1162"/>
      <c r="I1020" s="396">
        <f>SUM(J1020:N1020)</f>
        <v>15436790</v>
      </c>
      <c r="J1020" s="1176">
        <f>SUM(J1018:J1019)</f>
        <v>517557</v>
      </c>
      <c r="K1020" s="1176">
        <f t="shared" ref="K1020:N1020" si="33">SUM(K1018:K1019)</f>
        <v>94784</v>
      </c>
      <c r="L1020" s="1176">
        <f t="shared" si="33"/>
        <v>4474088</v>
      </c>
      <c r="M1020" s="1176">
        <f t="shared" si="33"/>
        <v>47193</v>
      </c>
      <c r="N1020" s="1196">
        <f t="shared" si="33"/>
        <v>10303168</v>
      </c>
      <c r="O1020" s="702"/>
      <c r="P1020" s="743"/>
    </row>
    <row r="1021" spans="1:16" s="701" customFormat="1" ht="22.15" customHeight="1" thickTop="1" x14ac:dyDescent="0.35">
      <c r="A1021" s="716">
        <v>1013</v>
      </c>
      <c r="B1021" s="847"/>
      <c r="C1021" s="848"/>
      <c r="D1021" s="1190" t="s">
        <v>92</v>
      </c>
      <c r="E1021" s="1192"/>
      <c r="F1021" s="1192"/>
      <c r="G1021" s="1376"/>
      <c r="H1021" s="849"/>
      <c r="I1021" s="850"/>
      <c r="J1021" s="850"/>
      <c r="K1021" s="850"/>
      <c r="L1021" s="850"/>
      <c r="M1021" s="850"/>
      <c r="N1021" s="851"/>
      <c r="O1021" s="702"/>
      <c r="P1021" s="743"/>
    </row>
    <row r="1022" spans="1:16" s="701" customFormat="1" ht="18" customHeight="1" x14ac:dyDescent="0.35">
      <c r="A1022" s="716">
        <v>1014</v>
      </c>
      <c r="B1022" s="852"/>
      <c r="C1022" s="853"/>
      <c r="D1022" s="1148" t="s">
        <v>245</v>
      </c>
      <c r="E1022" s="1193"/>
      <c r="F1022" s="1193"/>
      <c r="G1022" s="1191"/>
      <c r="H1022" s="854"/>
      <c r="I1022" s="855">
        <f>SUM(J1022:N1022)</f>
        <v>12828183</v>
      </c>
      <c r="J1022" s="748">
        <f>J984+J969+J838+J805+J727+J722+J717+J712+J702+J697+J692+J687+J682+J677+J672+J667+J662+J657+J652+J646+J641+J636+J630+J625+J620+J615+J610+J599+J594+J589+J583+J578+J573+J563+J513+J503+J498+J493+J488+J478+J473+J449+J444+J439+J424+J419+J372+J362+J357+J274+J269+J264+J259+J11+J537</f>
        <v>478585</v>
      </c>
      <c r="K1022" s="748">
        <f>K984+K969+K838+K805+K727+K722+K717+K712+K702+K697+K692+K687+K682+K677+K672+K667+K662+K657+K652+K646+K641+K636+K630+K625+K620+K615+K610+K599+K594+K589+K583+K578+K573+K563+K513+K503+K498+K493+K488+K478+K473+K449+K444+K439+K424+K419+K372+K362+K357+K274+K269+K264+K259+K11+K537</f>
        <v>82138</v>
      </c>
      <c r="L1022" s="748">
        <f>L984+L969+L838+L805+L727+L722+L717+L712+L702+L697+L692+L687+L682+L677+L672+L667+L662+L657+L652+L646+L641+L636+L630+L625+L620+L615+L610+L599+L594+L589+L583+L578+L573+L563+L513+L503+L498+L493+L488+L478+L473+L449+L444+L439+L424+L419+L372+L362+L357+L274+L269+L264+L259+L11+L537</f>
        <v>3297968</v>
      </c>
      <c r="M1022" s="748">
        <f>M984+M969+M838+M805+M727+M722+M717+M712+M702+M697+M692+M687+M682+M677+M672+M667+M662+M657+M652+M646+M641+M636+M630+M625+M620+M615+M610+M599+M594+M589+M583+M578+M573+M563+M513+M503+M498+M493+M488+M478+M473+M449+M444+M439+M424+M419+M372+M362+M357+M274+M269+M264+M259+M11+M537</f>
        <v>15175</v>
      </c>
      <c r="N1022" s="749">
        <f>N984+N969+N838+N805+N727+N722+N717+N712+N702+N697+N692+N687+N682+N677+N672+N667+N662+N657+N652+N646+N641+N636+N630+N625+N620+N615+N610+N599+N594+N589+N583+N578+N573+N563+N513+N503+N498+N493+N488+N478+N473+N449+N444+N439+N424+N419+N372+N362+N357+N274+N269+N264+N259+N11+N537</f>
        <v>8954317</v>
      </c>
      <c r="O1022" s="856"/>
      <c r="P1022" s="743"/>
    </row>
    <row r="1023" spans="1:16" s="701" customFormat="1" ht="18" customHeight="1" x14ac:dyDescent="0.35">
      <c r="A1023" s="716">
        <v>1015</v>
      </c>
      <c r="B1023" s="852"/>
      <c r="C1023" s="853"/>
      <c r="D1023" s="1146" t="s">
        <v>810</v>
      </c>
      <c r="E1023" s="1193"/>
      <c r="F1023" s="1193"/>
      <c r="G1023" s="1191"/>
      <c r="H1023" s="854"/>
      <c r="I1023" s="1460">
        <f>SUM(J1023:N1023)</f>
        <v>12941258</v>
      </c>
      <c r="J1023" s="731">
        <f>J985+J970+J839+J806+J728+J723+J718+J713+J703+J698+J693+J688+J683+J678+J673+J668+J663+J658+J653+J647+J642+J637+J631+J626+J621+J616+J611+J600+J595+J590+J584+J579+J574+J564+J514+J504+J499+J494+J489+J479+J474+J450+J445+J440+J425+J420+J373+J363+J358+J275+J270+J265+J260+J12+J538+J993+J1009</f>
        <v>478585</v>
      </c>
      <c r="K1023" s="731">
        <f>K985+K970+K839+K806+K728+K723+K718+K713+K703+K698+K693+K688+K683+K678+K673+K668+K663+K658+K653+K647+K642+K637+K631+K626+K621+K616+K611+K600+K595+K590+K584+K579+K574+K564+K514+K504+K499+K494+K489+K479+K474+K450+K445+K440+K425+K420+K373+K363+K358+K275+K270+K265+K260+K12+K538+K993+K1009</f>
        <v>82138</v>
      </c>
      <c r="L1023" s="731">
        <f>L985+L970+L839+L806+L728+L723+L718+L713+L703+L698+L693+L688+L683+L678+L673+L668+L663+L658+L653+L647+L642+L637+L631+L626+L621+L616+L611+L600+L595+L590+L584+L579+L574+L564+L514+L504+L499+L494+L489+L479+L474+L450+L445+L440+L425+L420+L373+L363+L358+L275+L270+L265+L260+L12+L538+L993+L1009</f>
        <v>3316655</v>
      </c>
      <c r="M1023" s="731">
        <f>M985+M970+M839+M806+M728+M723+M718+M713+M703+M698+M693+M688+M683+M678+M673+M668+M663+M658+M653+M647+M642+M637+M631+M626+M621+M616+M611+M600+M595+M590+M584+M579+M574+M564+M514+M504+M499+M494+M489+M479+M474+M450+M445+M440+M425+M420+M373+M363+M358+M275+M270+M265+M260+M12+M538+M993+M1009</f>
        <v>16675</v>
      </c>
      <c r="N1023" s="732">
        <f>N985+N970+N839+N806+N728+N723+N718+N713+N703+N698+N693+N688+N683+N678+N673+N668+N663+N658+N653+N647+N642+N637+N631+N626+N621+N616+N611+N600+N595+N590+N584+N579+N574+N564+N514+N504+N499+N494+N489+N479+N474+N450+N445+N440+N425+N420+N373+N363+N358+N275+N270+N265+N260+N12+N538+N993+N1009</f>
        <v>9047205</v>
      </c>
      <c r="O1023" s="856"/>
      <c r="P1023" s="743"/>
    </row>
    <row r="1024" spans="1:16" s="701" customFormat="1" ht="18" customHeight="1" x14ac:dyDescent="0.35">
      <c r="A1024" s="716">
        <v>1016</v>
      </c>
      <c r="B1024" s="852"/>
      <c r="C1024" s="853"/>
      <c r="D1024" s="910" t="s">
        <v>652</v>
      </c>
      <c r="E1024" s="1183"/>
      <c r="F1024" s="1183"/>
      <c r="G1024" s="1120"/>
      <c r="H1024" s="854"/>
      <c r="I1024" s="299">
        <f>SUM(J1024:Q1024)</f>
        <v>27884</v>
      </c>
      <c r="J1024" s="1101">
        <f>J986+J971+J840+J807+J729+J724+J719+J714+J704+J699+J694+J689+J684+J679+J674+J669+J664+J659+J654+J648+J643+J638+J632+J627+J622+J617+J612+J601+J596+J591+J585+J580+J575+J565+J515+J505+J500+J495+J490+J480+J475+J451+J446+J441+J426+J421+J374+J364+J359+J276+J271+J266+J261+J13+J539+J452+J994+J1010</f>
        <v>0</v>
      </c>
      <c r="K1024" s="1101">
        <f>K986+K971+K840+K807+K729+K724+K719+K714+K704+K699+K694+K689+K684+K679+K674+K669+K664+K659+K654+K648+K643+K638+K632+K627+K622+K617+K612+K601+K596+K591+K585+K580+K575+K565+K515+K505+K500+K495+K490+K480+K475+K451+K446+K441+K426+K421+K374+K364+K359+K276+K271+K266+K261+K13+K539+K452+K994+K1010</f>
        <v>0</v>
      </c>
      <c r="L1024" s="1101">
        <f>L986+L971+L840+L807+L729+L724+L719+L714+L704+L699+L694+L689+L684+L679+L674+L669+L664+L659+L654+L648+L643+L638+L632+L627+L622+L617+L612+L601+L596+L591+L585+L580+L575+L565+L515+L505+L500+L495+L490+L480+L475+L451+L446+L441+L426+L421+L374+L364+L359+L276+L271+L266+L261+L13+L539+L452+L994+L1010</f>
        <v>5749</v>
      </c>
      <c r="M1024" s="1101">
        <f>M986+M971+M840+M807+M729+M724+M719+M714+M704+M699+M694+M689+M684+M679+M674+M669+M664+M659+M654+M648+M643+M638+M632+M627+M622+M617+M612+M601+M596+M591+M585+M580+M575+M565+M515+M505+M500+M495+M490+M480+M475+M451+M446+M441+M426+M421+M374+M364+M359+M276+M271+M266+M261+M13+M539+M452+M994+M1010</f>
        <v>2000</v>
      </c>
      <c r="N1024" s="1119">
        <f>N986+N971+N840+N807+N729+N724+N719+N714+N704+N699+N694+N689+N684+N679+N674+N669+N664+N659+N654+N648+N643+N638+N632+N627+N622+N617+N612+N601+N596+N591+N585+N580+N575+N565+N515+N505+N500+N495+N490+N480+N475+N451+N446+N441+N426+N421+N374+N364+N359+N276+N271+N266+N261+N13+N539+N452+N994+N1010</f>
        <v>20135</v>
      </c>
      <c r="O1024" s="856"/>
      <c r="P1024" s="743"/>
    </row>
    <row r="1025" spans="1:16" s="701" customFormat="1" ht="18" customHeight="1" x14ac:dyDescent="0.35">
      <c r="A1025" s="716">
        <v>1017</v>
      </c>
      <c r="B1025" s="852"/>
      <c r="C1025" s="853"/>
      <c r="D1025" s="1146" t="s">
        <v>858</v>
      </c>
      <c r="E1025" s="1183"/>
      <c r="F1025" s="1183"/>
      <c r="G1025" s="1120"/>
      <c r="H1025" s="854"/>
      <c r="I1025" s="443">
        <f>SUM(J1025:Q1025)</f>
        <v>12969142</v>
      </c>
      <c r="J1025" s="731">
        <f>SUM(J1023:J1024)</f>
        <v>478585</v>
      </c>
      <c r="K1025" s="731">
        <f t="shared" ref="K1025:N1025" si="34">SUM(K1023:K1024)</f>
        <v>82138</v>
      </c>
      <c r="L1025" s="731">
        <f t="shared" si="34"/>
        <v>3322404</v>
      </c>
      <c r="M1025" s="731">
        <f t="shared" si="34"/>
        <v>18675</v>
      </c>
      <c r="N1025" s="732">
        <f t="shared" si="34"/>
        <v>9067340</v>
      </c>
      <c r="O1025" s="856"/>
      <c r="P1025" s="743"/>
    </row>
    <row r="1026" spans="1:16" s="701" customFormat="1" ht="22.15" customHeight="1" x14ac:dyDescent="0.35">
      <c r="A1026" s="716">
        <v>1018</v>
      </c>
      <c r="B1026" s="852"/>
      <c r="C1026" s="853"/>
      <c r="D1026" s="1186" t="s">
        <v>93</v>
      </c>
      <c r="E1026" s="1193"/>
      <c r="F1026" s="1193"/>
      <c r="G1026" s="1187"/>
      <c r="H1026" s="854"/>
      <c r="I1026" s="855"/>
      <c r="J1026" s="748"/>
      <c r="K1026" s="748"/>
      <c r="L1026" s="748"/>
      <c r="M1026" s="748"/>
      <c r="N1026" s="749"/>
      <c r="O1026" s="856"/>
      <c r="P1026" s="743"/>
    </row>
    <row r="1027" spans="1:16" s="701" customFormat="1" ht="18" customHeight="1" x14ac:dyDescent="0.35">
      <c r="A1027" s="716">
        <v>1019</v>
      </c>
      <c r="B1027" s="1177"/>
      <c r="C1027" s="1178"/>
      <c r="D1027" s="1188" t="s">
        <v>245</v>
      </c>
      <c r="E1027" s="1193"/>
      <c r="F1027" s="1193"/>
      <c r="G1027" s="1189"/>
      <c r="H1027" s="1179"/>
      <c r="I1027" s="1180">
        <f>SUM(J1027:N1027)</f>
        <v>2187979</v>
      </c>
      <c r="J1027" s="1181">
        <f>J974+J964+J959+J954+J949+J944+J907+J934+J929+J923+J896+J890+J882+J871+J866+J858+J848+J843+J833+J828+J822+J816+J810+J793+J788+J783+J778+J773+J767+J762+J757+J707+J604+J568+J558+J552+J547+J542+J528+J523+J518+J508+J483+J468+J462+J456+J434+J429+J413+J408+J403+J398+J393+J388+J383+J378+J352+J319+J289+J284+J279+J253+J248+J242+J237+J232+J227+J187+J181+J176+J171+J126+J121+J116+J111+J106+J41+J36+J31+J26+J21+J16+J939+J979</f>
        <v>23128</v>
      </c>
      <c r="K1027" s="1181">
        <f>K974+K964+K959+K954+K949+K944+K907+K934+K929+K923+K896+K890+K882+K871+K866+K858+K848+K843+K833+K828+K822+K816+K810+K793+K788+K783+K778+K773+K767+K762+K757+K707+K604+K568+K558+K552+K547+K542+K528+K523+K518+K508+K483+K468+K462+K456+K434+K429+K413+K408+K403+K398+K393+K388+K383+K378+K352+K319+K289+K284+K279+K253+K248+K242+K237+K232+K227+K187+K181+K176+K171+K126+K121+K116+K111+K106+K41+K36+K31+K26+K21+K16+K939+K979</f>
        <v>8544</v>
      </c>
      <c r="L1027" s="1181">
        <f>L974+L964+L959+L954+L949+L944+L907+L934+L929+L923+L896+L890+L882+L871+L866+L858+L848+L843+L833+L828+L822+L816+L810+L793+L788+L783+L778+L773+L767+L762+L757+L707+L604+L568+L558+L552+L547+L542+L528+L523+L518+L508+L483+L468+L462+L456+L434+L429+L413+L408+L403+L398+L393+L388+L383+L378+L352+L319+L289+L284+L279+L253+L248+L242+L237+L232+L227+L187+L181+L176+L171+L126+L121+L116+L111+L106+L41+L36+L31+L26+L21+L16+L939+L979</f>
        <v>1031429</v>
      </c>
      <c r="M1027" s="1181">
        <f>M974+M964+M959+M954+M949+M944+M907+M934+M929+M923+M896+M890+M882+M871+M866+M858+M848+M843+M833+M828+M822+M816+M810+M793+M788+M783+M778+M773+M767+M762+M757+M707+M604+M568+M558+M552+M547+M542+M528+M523+M518+M508+M483+M468+M462+M456+M434+M429+M413+M408+M403+M398+M393+M388+M383+M378+M352+M319+M289+M284+M279+M253+M248+M242+M237+M232+M227+M187+M181+M176+M171+M126+M121+M116+M111+M106+M41+M36+M31+M26+M21+M16+M939+M979</f>
        <v>20210</v>
      </c>
      <c r="N1027" s="1197">
        <f>N974+N964+N959+N954+N949+N944+N907+N934+N929+N923+N896+N890+N882+N871+N866+N858+N848+N843+N833+N828+N822+N816+N810+N793+N788+N783+N778+N773+N767+N762+N757+N707+N604+N568+N558+N552+N547+N542+N528+N523+N518+N508+N483+N468+N462+N456+N434+N429+N413+N408+N403+N398+N393+N388+N383+N378+N352+N319+N289+N284+N279+N253+N248+N242+N237+N232+N227+N187+N181+N176+N171+N126+N121+N116+N111+N106+N41+N36+N31+N26+N21+N16+N939+N979</f>
        <v>1104668</v>
      </c>
      <c r="O1027" s="702"/>
      <c r="P1027" s="743"/>
    </row>
    <row r="1028" spans="1:16" s="701" customFormat="1" ht="18" customHeight="1" x14ac:dyDescent="0.35">
      <c r="A1028" s="716">
        <v>1020</v>
      </c>
      <c r="B1028" s="1177"/>
      <c r="C1028" s="1178"/>
      <c r="D1028" s="1146" t="s">
        <v>810</v>
      </c>
      <c r="E1028" s="1193"/>
      <c r="F1028" s="1193"/>
      <c r="G1028" s="1189"/>
      <c r="H1028" s="1458"/>
      <c r="I1028" s="1461">
        <f>SUM(J1028:N1028)</f>
        <v>2460109</v>
      </c>
      <c r="J1028" s="1462">
        <f>J975+J965+J960+J955+J950+J945+J908+J935+J930+J924+J897+J891+J883+J872+J867+J859+J849+J844+J834+J829+J823+J817+J811+J794+J789+J784+J779+J774+J768+J763+J758+J708+J605+J569+J559+J553+J548+J543+J529+J524+J519+J509+J484+J469+J463+J457+J435+J430+J414+J409+J404+J399+J394+J389+J384+J379+J353+J320+J290+J285+J280+J254+J249+J243+J238+J233+J228+J188+J182+J177+J172+J127+J122+J117+J112+J107+J42+J37+J32+J27+J22+J17+J940+J980+J997+J989+J917+J912+J903+J876+J853+J533+J1001+J1005+J1013</f>
        <v>34554</v>
      </c>
      <c r="K1028" s="1462">
        <f>K975+K965+K960+K955+K950+K945+K908+K935+K930+K924+K897+K891+K883+K872+K867+K859+K849+K844+K834+K829+K823+K817+K811+K794+K789+K784+K779+K774+K768+K763+K758+K708+K605+K569+K559+K553+K548+K543+K529+K524+K519+K509+K484+K469+K463+K457+K435+K430+K414+K409+K404+K399+K394+K389+K384+K379+K353+K320+K290+K285+K280+K254+K249+K243+K238+K233+K228+K188+K182+K177+K172+K127+K122+K117+K112+K107+K42+K37+K32+K27+K22+K17+K940+K980+K997+K989+K917+K912+K903+K876+K853+K533+K1001+K1005+K1013</f>
        <v>12061</v>
      </c>
      <c r="L1028" s="1462">
        <f>L975+L965+L960+L955+L950+L945+L908+L935+L930+L924+L897+L891+L883+L872+L867+L859+L849+L844+L834+L829+L823+L817+L811+L794+L789+L784+L779+L774+L768+L763+L758+L708+L605+L569+L559+L553+L548+L543+L529+L524+L519+L509+L484+L469+L463+L457+L435+L430+L414+L409+L404+L399+L394+L389+L384+L379+L353+L320+L290+L285+L280+L254+L249+L243+L238+L233+L228+L188+L182+L177+L172+L127+L122+L117+L112+L107+L42+L37+L32+L27+L22+L17+L940+L980+L997+L989+L917+L912+L903+L876+L853+L533+L1001+L1005+L1013</f>
        <v>1150209</v>
      </c>
      <c r="M1028" s="1462">
        <f>M975+M965+M960+M955+M950+M945+M908+M935+M930+M924+M897+M891+M883+M872+M867+M859+M849+M844+M834+M829+M823+M817+M811+M794+M789+M784+M779+M774+M768+M763+M758+M708+M605+M569+M559+M553+M548+M543+M529+M524+M519+M509+M484+M469+M463+M457+M435+M430+M414+M409+M404+M399+M394+M389+M384+M379+M353+M320+M290+M285+M280+M254+M249+M243+M238+M233+M228+M188+M182+M177+M172+M127+M122+M117+M112+M107+M42+M37+M32+M27+M22+M17+M940+M980+M997+M989+M917+M912+M903+M876+M853+M533+M1001+M1005+M1013</f>
        <v>30710</v>
      </c>
      <c r="N1028" s="1823">
        <f>N975+N965+N960+N955+N950+N945+N908+N935+N930+N924+N897+N891+N883+N872+N867+N859+N849+N844+N834+N829+N823+N817+N811+N794+N789+N784+N779+N774+N768+N763+N758+N708+N605+N569+N559+N553+N548+N543+N529+N524+N519+N509+N484+N469+N463+N457+N435+N430+N414+N409+N404+N399+N394+N389+N384+N379+N353+N320+N290+N285+N280+N254+N249+N243+N238+N233+N228+N188+N182+N177+N172+N127+N122+N117+N112+N107+N42+N37+N32+N27+N22+N17+N940+N980+N997+N989+N917+N912+N903+N876+N853+N533+N1001+N1005+N1013</f>
        <v>1232575</v>
      </c>
      <c r="O1028" s="702"/>
      <c r="P1028" s="743"/>
    </row>
    <row r="1029" spans="1:16" s="701" customFormat="1" ht="18" customHeight="1" x14ac:dyDescent="0.35">
      <c r="A1029" s="716">
        <v>1021</v>
      </c>
      <c r="B1029" s="1198"/>
      <c r="C1029" s="1182"/>
      <c r="D1029" s="910" t="s">
        <v>652</v>
      </c>
      <c r="E1029" s="1183"/>
      <c r="F1029" s="1183"/>
      <c r="G1029" s="1377"/>
      <c r="H1029" s="1184"/>
      <c r="I1029" s="299">
        <f>SUM(J1029:Q1029)</f>
        <v>7539</v>
      </c>
      <c r="J1029" s="1195">
        <f>J976+J966+J961+J956+J951+J946+J909+J936+J931+J925+J898+J892+J884+J873+J868+J860+J850+J845+J835+J830+J824+J818+J812+J790+J785+J780+J775+J769+J764+J759+J709+J606+J570+J560+J554+J549+J544+J530+J525+J520+J510+J485+J470+J464+J458+J436+J431+J415+J410+J405+J400+J395+J390+J385+J380+J354+J321+J291+J286+J281+J255+J250+J244+J239+J234+J229+J189+J183+J178+J173+J128+J123+J118+J113+J108+J43+J38+J33+J28+J23+J18+J941+J981+J913+J795+J534+J918+J854+J877+J990+J904+J998+J1002+J1006+J1014+J796+J797+J798+J799+J800+J801</f>
        <v>4418</v>
      </c>
      <c r="K1029" s="1195">
        <f t="shared" ref="K1029:N1029" si="35">K976+K966+K961+K956+K951+K946+K909+K936+K931+K925+K898+K892+K884+K873+K868+K860+K850+K845+K835+K830+K824+K818+K812+K790+K785+K780+K775+K769+K764+K759+K709+K606+K570+K560+K554+K549+K544+K530+K525+K520+K510+K485+K470+K464+K458+K436+K431+K415+K410+K405+K400+K395+K390+K385+K380+K354+K321+K291+K286+K281+K255+K250+K244+K239+K234+K229+K189+K183+K178+K173+K128+K123+K118+K113+K108+K43+K38+K33+K28+K23+K18+K941+K981+K913+K795+K534+K918+K854+K877+K990+K904+K998+K1002+K1006+K1014+K796+K797+K798+K799+K800+K801</f>
        <v>585</v>
      </c>
      <c r="L1029" s="1195">
        <f t="shared" si="35"/>
        <v>1475</v>
      </c>
      <c r="M1029" s="1195">
        <f t="shared" si="35"/>
        <v>-2192</v>
      </c>
      <c r="N1029" s="1824">
        <f t="shared" si="35"/>
        <v>3253</v>
      </c>
      <c r="O1029" s="702"/>
      <c r="P1029" s="743"/>
    </row>
    <row r="1030" spans="1:16" s="701" customFormat="1" ht="18" customHeight="1" thickBot="1" x14ac:dyDescent="0.4">
      <c r="A1030" s="716">
        <v>1022</v>
      </c>
      <c r="B1030" s="1199"/>
      <c r="C1030" s="857"/>
      <c r="D1030" s="1200" t="s">
        <v>858</v>
      </c>
      <c r="E1030" s="1201"/>
      <c r="F1030" s="1201"/>
      <c r="G1030" s="1378"/>
      <c r="H1030" s="1202"/>
      <c r="I1030" s="1203">
        <f>SUM(J1030:Q1030)</f>
        <v>2467648</v>
      </c>
      <c r="J1030" s="1204">
        <f>SUM(J1028:J1029)</f>
        <v>38972</v>
      </c>
      <c r="K1030" s="1204">
        <f t="shared" ref="K1030:N1030" si="36">SUM(K1028:K1029)</f>
        <v>12646</v>
      </c>
      <c r="L1030" s="1204">
        <f t="shared" si="36"/>
        <v>1151684</v>
      </c>
      <c r="M1030" s="1204">
        <f t="shared" si="36"/>
        <v>28518</v>
      </c>
      <c r="N1030" s="1205">
        <f t="shared" si="36"/>
        <v>1235828</v>
      </c>
      <c r="O1030" s="702"/>
      <c r="P1030" s="743"/>
    </row>
    <row r="1031" spans="1:16" ht="18" customHeight="1" x14ac:dyDescent="0.3">
      <c r="A1031" s="858"/>
      <c r="B1031" s="1952" t="s">
        <v>25</v>
      </c>
      <c r="C1031" s="1952"/>
      <c r="D1031" s="1952"/>
      <c r="E1031" s="66"/>
      <c r="F1031" s="66"/>
      <c r="G1031" s="66"/>
      <c r="H1031" s="20"/>
      <c r="I1031" s="859"/>
      <c r="J1031" s="66"/>
      <c r="K1031" s="66"/>
      <c r="L1031" s="66"/>
      <c r="M1031" s="66"/>
      <c r="N1031" s="66"/>
    </row>
    <row r="1032" spans="1:16" ht="18" customHeight="1" x14ac:dyDescent="0.3">
      <c r="A1032" s="858"/>
      <c r="B1032" s="860" t="s">
        <v>26</v>
      </c>
      <c r="C1032" s="860"/>
      <c r="D1032" s="860"/>
      <c r="E1032" s="66"/>
      <c r="F1032" s="66"/>
      <c r="G1032" s="66"/>
      <c r="H1032" s="20"/>
      <c r="I1032" s="859"/>
      <c r="J1032" s="66"/>
      <c r="K1032" s="66"/>
      <c r="L1032" s="66"/>
      <c r="M1032" s="66"/>
      <c r="N1032" s="66"/>
    </row>
    <row r="1033" spans="1:16" ht="18" customHeight="1" x14ac:dyDescent="0.3">
      <c r="A1033" s="858"/>
      <c r="B1033" s="1952" t="s">
        <v>27</v>
      </c>
      <c r="C1033" s="1952"/>
      <c r="D1033" s="1952"/>
      <c r="E1033" s="66"/>
      <c r="F1033" s="66"/>
      <c r="G1033" s="66"/>
      <c r="H1033" s="20"/>
      <c r="I1033" s="859"/>
      <c r="J1033" s="66"/>
      <c r="K1033" s="66"/>
      <c r="L1033" s="66"/>
      <c r="M1033" s="66"/>
      <c r="N1033" s="66"/>
    </row>
    <row r="1034" spans="1:16" ht="18" customHeight="1" x14ac:dyDescent="0.3">
      <c r="I1034" s="699"/>
    </row>
    <row r="1035" spans="1:16" ht="18" customHeight="1" x14ac:dyDescent="0.35"/>
    <row r="1036" spans="1:16" ht="18" customHeight="1" x14ac:dyDescent="0.35"/>
    <row r="1037" spans="1:16" s="863" customFormat="1" ht="18" customHeight="1" x14ac:dyDescent="0.35">
      <c r="A1037" s="716"/>
      <c r="B1037" s="733"/>
      <c r="C1037" s="861"/>
      <c r="D1037" s="862"/>
      <c r="E1037" s="699"/>
      <c r="F1037" s="699"/>
      <c r="G1037" s="699"/>
      <c r="H1037" s="733"/>
      <c r="J1037" s="699"/>
      <c r="K1037" s="699"/>
      <c r="L1037" s="699"/>
      <c r="M1037" s="699"/>
      <c r="N1037" s="699"/>
      <c r="O1037" s="699"/>
    </row>
    <row r="1038" spans="1:16" s="863" customFormat="1" ht="18" customHeight="1" x14ac:dyDescent="0.35">
      <c r="A1038" s="716"/>
      <c r="B1038" s="733"/>
      <c r="C1038" s="861"/>
      <c r="D1038" s="862"/>
      <c r="E1038" s="699"/>
      <c r="F1038" s="699"/>
      <c r="G1038" s="699"/>
      <c r="H1038" s="733"/>
      <c r="J1038" s="699"/>
      <c r="K1038" s="699"/>
      <c r="L1038" s="699"/>
      <c r="M1038" s="699"/>
      <c r="N1038" s="699"/>
      <c r="O1038" s="699"/>
    </row>
    <row r="1039" spans="1:16" s="863" customFormat="1" ht="18" customHeight="1" x14ac:dyDescent="0.35">
      <c r="A1039" s="716"/>
      <c r="B1039" s="733"/>
      <c r="C1039" s="861"/>
      <c r="D1039" s="862"/>
      <c r="E1039" s="699"/>
      <c r="F1039" s="699"/>
      <c r="G1039" s="699"/>
      <c r="H1039" s="733"/>
      <c r="J1039" s="699"/>
      <c r="K1039" s="699"/>
      <c r="L1039" s="699"/>
      <c r="M1039" s="699"/>
      <c r="N1039" s="699"/>
      <c r="O1039" s="699"/>
    </row>
    <row r="1040" spans="1:16" s="863" customFormat="1" ht="18" customHeight="1" x14ac:dyDescent="0.35">
      <c r="A1040" s="716"/>
      <c r="B1040" s="733"/>
      <c r="C1040" s="861"/>
      <c r="D1040" s="862"/>
      <c r="E1040" s="699"/>
      <c r="F1040" s="699"/>
      <c r="G1040" s="699"/>
      <c r="H1040" s="733"/>
      <c r="J1040" s="699"/>
      <c r="K1040" s="699"/>
      <c r="L1040" s="699"/>
      <c r="M1040" s="699"/>
      <c r="N1040" s="699"/>
      <c r="O1040" s="699"/>
    </row>
    <row r="1041" spans="1:15" s="863" customFormat="1" ht="18" customHeight="1" x14ac:dyDescent="0.35">
      <c r="A1041" s="716"/>
      <c r="B1041" s="733"/>
      <c r="C1041" s="861"/>
      <c r="D1041" s="862"/>
      <c r="E1041" s="699"/>
      <c r="F1041" s="699"/>
      <c r="G1041" s="699"/>
      <c r="H1041" s="733"/>
      <c r="J1041" s="699"/>
      <c r="K1041" s="699"/>
      <c r="L1041" s="699"/>
      <c r="M1041" s="699"/>
      <c r="N1041" s="699"/>
      <c r="O1041" s="699"/>
    </row>
    <row r="1042" spans="1:15" s="863" customFormat="1" ht="18" customHeight="1" x14ac:dyDescent="0.35">
      <c r="A1042" s="716"/>
      <c r="B1042" s="733"/>
      <c r="C1042" s="861"/>
      <c r="D1042" s="864"/>
      <c r="E1042" s="699"/>
      <c r="F1042" s="699"/>
      <c r="G1042" s="699"/>
      <c r="H1042" s="733"/>
      <c r="J1042" s="699"/>
      <c r="K1042" s="699"/>
      <c r="L1042" s="699"/>
      <c r="M1042" s="699"/>
      <c r="N1042" s="699"/>
      <c r="O1042" s="699"/>
    </row>
    <row r="1043" spans="1:15" s="863" customFormat="1" ht="18" customHeight="1" x14ac:dyDescent="0.35">
      <c r="A1043" s="716"/>
      <c r="B1043" s="733"/>
      <c r="C1043" s="861"/>
      <c r="D1043" s="864"/>
      <c r="E1043" s="699"/>
      <c r="F1043" s="699"/>
      <c r="G1043" s="699"/>
      <c r="H1043" s="733"/>
      <c r="J1043" s="699"/>
      <c r="K1043" s="699"/>
      <c r="L1043" s="699"/>
      <c r="M1043" s="699"/>
      <c r="N1043" s="699"/>
      <c r="O1043" s="699"/>
    </row>
    <row r="1044" spans="1:15" s="863" customFormat="1" ht="18" customHeight="1" x14ac:dyDescent="0.35">
      <c r="A1044" s="716"/>
      <c r="B1044" s="733"/>
      <c r="C1044" s="861"/>
      <c r="D1044" s="862"/>
      <c r="E1044" s="699"/>
      <c r="F1044" s="699"/>
      <c r="G1044" s="699"/>
      <c r="H1044" s="733"/>
      <c r="J1044" s="699"/>
      <c r="K1044" s="699"/>
      <c r="L1044" s="699"/>
      <c r="M1044" s="699"/>
      <c r="N1044" s="699"/>
      <c r="O1044" s="699"/>
    </row>
    <row r="1045" spans="1:15" s="863" customFormat="1" ht="18" customHeight="1" x14ac:dyDescent="0.35">
      <c r="A1045" s="716"/>
      <c r="B1045" s="733"/>
      <c r="C1045" s="861"/>
      <c r="D1045" s="862"/>
      <c r="E1045" s="699"/>
      <c r="F1045" s="699"/>
      <c r="G1045" s="699"/>
      <c r="H1045" s="733"/>
      <c r="J1045" s="699"/>
      <c r="K1045" s="699"/>
      <c r="L1045" s="699"/>
      <c r="M1045" s="699"/>
      <c r="N1045" s="699"/>
      <c r="O1045" s="699"/>
    </row>
    <row r="1046" spans="1:15" s="863" customFormat="1" ht="18" customHeight="1" x14ac:dyDescent="0.35">
      <c r="A1046" s="716"/>
      <c r="B1046" s="733"/>
      <c r="C1046" s="861"/>
      <c r="D1046" s="862"/>
      <c r="E1046" s="699"/>
      <c r="F1046" s="699"/>
      <c r="G1046" s="699"/>
      <c r="H1046" s="733"/>
      <c r="J1046" s="699"/>
      <c r="K1046" s="699"/>
      <c r="L1046" s="699"/>
      <c r="M1046" s="699"/>
      <c r="N1046" s="699"/>
      <c r="O1046" s="699"/>
    </row>
    <row r="1047" spans="1:15" s="863" customFormat="1" ht="18" customHeight="1" x14ac:dyDescent="0.35">
      <c r="A1047" s="716"/>
      <c r="B1047" s="733"/>
      <c r="C1047" s="861"/>
      <c r="D1047" s="862"/>
      <c r="E1047" s="699"/>
      <c r="F1047" s="699"/>
      <c r="G1047" s="699"/>
      <c r="H1047" s="733"/>
      <c r="J1047" s="699"/>
      <c r="K1047" s="699"/>
      <c r="L1047" s="699"/>
      <c r="M1047" s="699"/>
      <c r="N1047" s="699"/>
      <c r="O1047" s="699"/>
    </row>
    <row r="1048" spans="1:15" s="863" customFormat="1" ht="18" customHeight="1" x14ac:dyDescent="0.35">
      <c r="A1048" s="716"/>
      <c r="B1048" s="733"/>
      <c r="C1048" s="861"/>
      <c r="D1048" s="862"/>
      <c r="E1048" s="699"/>
      <c r="F1048" s="699"/>
      <c r="G1048" s="699"/>
      <c r="H1048" s="733"/>
      <c r="J1048" s="699"/>
      <c r="K1048" s="699"/>
      <c r="L1048" s="699"/>
      <c r="M1048" s="699"/>
      <c r="N1048" s="699"/>
      <c r="O1048" s="699"/>
    </row>
    <row r="1049" spans="1:15" s="863" customFormat="1" ht="18" customHeight="1" x14ac:dyDescent="0.35">
      <c r="A1049" s="716"/>
      <c r="B1049" s="733"/>
      <c r="C1049" s="861"/>
      <c r="D1049" s="862"/>
      <c r="E1049" s="699"/>
      <c r="F1049" s="699"/>
      <c r="G1049" s="699"/>
      <c r="H1049" s="733"/>
      <c r="J1049" s="699"/>
      <c r="K1049" s="699"/>
      <c r="L1049" s="699"/>
      <c r="M1049" s="699"/>
      <c r="N1049" s="699"/>
      <c r="O1049" s="699"/>
    </row>
    <row r="1050" spans="1:15" s="863" customFormat="1" ht="18" customHeight="1" x14ac:dyDescent="0.35">
      <c r="A1050" s="716"/>
      <c r="B1050" s="733"/>
      <c r="C1050" s="861"/>
      <c r="D1050" s="862"/>
      <c r="E1050" s="699"/>
      <c r="F1050" s="699"/>
      <c r="G1050" s="699"/>
      <c r="H1050" s="733"/>
      <c r="J1050" s="699"/>
      <c r="K1050" s="699"/>
      <c r="L1050" s="699"/>
      <c r="M1050" s="699"/>
      <c r="N1050" s="699"/>
      <c r="O1050" s="699"/>
    </row>
    <row r="1051" spans="1:15" s="863" customFormat="1" ht="18" customHeight="1" x14ac:dyDescent="0.35">
      <c r="A1051" s="716"/>
      <c r="B1051" s="733"/>
      <c r="C1051" s="861"/>
      <c r="D1051" s="862"/>
      <c r="E1051" s="699"/>
      <c r="F1051" s="699"/>
      <c r="G1051" s="699"/>
      <c r="H1051" s="733"/>
      <c r="J1051" s="699"/>
      <c r="K1051" s="699"/>
      <c r="L1051" s="699"/>
      <c r="M1051" s="699"/>
      <c r="N1051" s="699"/>
      <c r="O1051" s="699"/>
    </row>
    <row r="1052" spans="1:15" s="863" customFormat="1" ht="18" customHeight="1" x14ac:dyDescent="0.35">
      <c r="A1052" s="716"/>
      <c r="B1052" s="733"/>
      <c r="C1052" s="861"/>
      <c r="D1052" s="862"/>
      <c r="E1052" s="699"/>
      <c r="F1052" s="699"/>
      <c r="G1052" s="699"/>
      <c r="H1052" s="733"/>
      <c r="J1052" s="699"/>
      <c r="K1052" s="699"/>
      <c r="L1052" s="699"/>
      <c r="M1052" s="699"/>
      <c r="N1052" s="699"/>
      <c r="O1052" s="699"/>
    </row>
    <row r="1053" spans="1:15" ht="18" customHeight="1" x14ac:dyDescent="0.35"/>
    <row r="1054" spans="1:15" ht="18" customHeight="1" x14ac:dyDescent="0.35"/>
    <row r="1055" spans="1:15" ht="18" customHeight="1" x14ac:dyDescent="0.35"/>
    <row r="1056" spans="1:15" ht="18" customHeight="1" x14ac:dyDescent="0.35"/>
    <row r="1057" spans="4:14" ht="18" customHeight="1" x14ac:dyDescent="0.35"/>
    <row r="1058" spans="4:14" ht="18" customHeight="1" x14ac:dyDescent="0.35"/>
    <row r="1059" spans="4:14" ht="18" customHeight="1" x14ac:dyDescent="0.35"/>
    <row r="1060" spans="4:14" ht="18" customHeight="1" x14ac:dyDescent="0.35"/>
    <row r="1061" spans="4:14" ht="18" customHeight="1" x14ac:dyDescent="0.35"/>
    <row r="1062" spans="4:14" ht="18" customHeight="1" x14ac:dyDescent="0.35"/>
    <row r="1063" spans="4:14" ht="18" customHeight="1" x14ac:dyDescent="0.35"/>
    <row r="1064" spans="4:14" ht="18" customHeight="1" x14ac:dyDescent="0.35"/>
    <row r="1065" spans="4:14" ht="18" customHeight="1" x14ac:dyDescent="0.35"/>
    <row r="1066" spans="4:14" ht="18" customHeight="1" x14ac:dyDescent="0.35"/>
    <row r="1067" spans="4:14" ht="18" customHeight="1" x14ac:dyDescent="0.35"/>
    <row r="1068" spans="4:14" ht="18" customHeight="1" x14ac:dyDescent="0.35">
      <c r="D1068" s="865"/>
      <c r="E1068" s="733"/>
      <c r="F1068" s="733"/>
      <c r="G1068" s="733"/>
      <c r="I1068" s="701"/>
      <c r="J1068" s="733"/>
      <c r="K1068" s="733"/>
      <c r="L1068" s="733"/>
      <c r="M1068" s="733"/>
      <c r="N1068" s="733"/>
    </row>
    <row r="1069" spans="4:14" ht="18" customHeight="1" x14ac:dyDescent="0.35">
      <c r="D1069" s="865"/>
      <c r="E1069" s="733"/>
      <c r="F1069" s="733"/>
      <c r="G1069" s="733"/>
      <c r="I1069" s="701"/>
      <c r="J1069" s="733"/>
      <c r="K1069" s="733"/>
      <c r="L1069" s="733"/>
      <c r="M1069" s="733"/>
      <c r="N1069" s="733"/>
    </row>
    <row r="1070" spans="4:14" ht="18" customHeight="1" x14ac:dyDescent="0.35">
      <c r="D1070" s="865"/>
      <c r="E1070" s="733"/>
      <c r="F1070" s="733"/>
      <c r="G1070" s="733"/>
      <c r="I1070" s="701"/>
      <c r="J1070" s="733"/>
      <c r="K1070" s="733"/>
      <c r="L1070" s="733"/>
      <c r="M1070" s="733"/>
      <c r="N1070" s="733"/>
    </row>
    <row r="1071" spans="4:14" ht="18" customHeight="1" x14ac:dyDescent="0.35">
      <c r="D1071" s="865"/>
      <c r="E1071" s="733"/>
      <c r="F1071" s="733"/>
      <c r="G1071" s="733"/>
      <c r="I1071" s="701"/>
      <c r="J1071" s="733"/>
      <c r="K1071" s="733"/>
      <c r="L1071" s="733"/>
      <c r="M1071" s="733"/>
      <c r="N1071" s="733"/>
    </row>
    <row r="1072" spans="4:14" ht="18" customHeight="1" x14ac:dyDescent="0.35"/>
    <row r="1073" spans="1:14" ht="18" customHeight="1" x14ac:dyDescent="0.35"/>
    <row r="1074" spans="1:14" ht="18" customHeight="1" x14ac:dyDescent="0.35"/>
    <row r="1075" spans="1:14" ht="18" customHeight="1" x14ac:dyDescent="0.35"/>
    <row r="1076" spans="1:14" ht="18" customHeight="1" x14ac:dyDescent="0.35"/>
    <row r="1077" spans="1:14" ht="18" customHeight="1" x14ac:dyDescent="0.35">
      <c r="D1077" s="864"/>
    </row>
    <row r="1078" spans="1:14" ht="18" customHeight="1" x14ac:dyDescent="0.35">
      <c r="D1078" s="864"/>
    </row>
    <row r="1079" spans="1:14" s="863" customFormat="1" ht="18" customHeight="1" x14ac:dyDescent="0.35">
      <c r="A1079" s="716"/>
      <c r="B1079" s="733"/>
      <c r="C1079" s="861"/>
      <c r="D1079" s="864"/>
      <c r="E1079" s="699"/>
      <c r="F1079" s="699"/>
      <c r="G1079" s="699"/>
      <c r="H1079" s="733"/>
      <c r="J1079" s="699"/>
      <c r="K1079" s="699"/>
      <c r="L1079" s="699"/>
      <c r="M1079" s="699"/>
      <c r="N1079" s="699"/>
    </row>
    <row r="1080" spans="1:14" s="863" customFormat="1" ht="18" customHeight="1" x14ac:dyDescent="0.35">
      <c r="A1080" s="716"/>
      <c r="B1080" s="733"/>
      <c r="C1080" s="861"/>
      <c r="D1080" s="864"/>
      <c r="E1080" s="699"/>
      <c r="F1080" s="699"/>
      <c r="G1080" s="699"/>
      <c r="H1080" s="733"/>
      <c r="J1080" s="699"/>
      <c r="K1080" s="699"/>
      <c r="L1080" s="699"/>
      <c r="M1080" s="699"/>
      <c r="N1080" s="699"/>
    </row>
    <row r="1081" spans="1:14" s="863" customFormat="1" ht="18" customHeight="1" x14ac:dyDescent="0.35">
      <c r="A1081" s="716"/>
      <c r="B1081" s="733"/>
      <c r="C1081" s="861"/>
      <c r="D1081" s="864"/>
      <c r="E1081" s="699"/>
      <c r="F1081" s="699"/>
      <c r="G1081" s="699"/>
      <c r="H1081" s="733"/>
      <c r="J1081" s="699"/>
      <c r="K1081" s="699"/>
      <c r="L1081" s="699"/>
      <c r="M1081" s="699"/>
      <c r="N1081" s="699"/>
    </row>
    <row r="1082" spans="1:14" s="863" customFormat="1" ht="18" customHeight="1" x14ac:dyDescent="0.35">
      <c r="A1082" s="716"/>
      <c r="B1082" s="733"/>
      <c r="C1082" s="861"/>
      <c r="D1082" s="864"/>
      <c r="E1082" s="699"/>
      <c r="F1082" s="699"/>
      <c r="G1082" s="699"/>
      <c r="H1082" s="733"/>
      <c r="J1082" s="699"/>
      <c r="K1082" s="699"/>
      <c r="L1082" s="699"/>
      <c r="M1082" s="699"/>
      <c r="N1082" s="699"/>
    </row>
    <row r="1083" spans="1:14" s="863" customFormat="1" ht="18" customHeight="1" x14ac:dyDescent="0.35">
      <c r="A1083" s="716"/>
      <c r="B1083" s="733"/>
      <c r="C1083" s="861"/>
      <c r="D1083" s="864"/>
      <c r="E1083" s="699"/>
      <c r="F1083" s="699"/>
      <c r="G1083" s="699"/>
      <c r="H1083" s="733"/>
      <c r="J1083" s="699"/>
      <c r="K1083" s="699"/>
      <c r="L1083" s="699"/>
      <c r="M1083" s="699"/>
      <c r="N1083" s="699"/>
    </row>
    <row r="1084" spans="1:14" s="863" customFormat="1" ht="18" customHeight="1" x14ac:dyDescent="0.35">
      <c r="A1084" s="716"/>
      <c r="B1084" s="733"/>
      <c r="C1084" s="861"/>
      <c r="D1084" s="864"/>
      <c r="E1084" s="699"/>
      <c r="F1084" s="699"/>
      <c r="G1084" s="699"/>
      <c r="H1084" s="733"/>
      <c r="J1084" s="699"/>
      <c r="K1084" s="699"/>
      <c r="L1084" s="699"/>
      <c r="M1084" s="699"/>
      <c r="N1084" s="699"/>
    </row>
    <row r="1085" spans="1:14" s="863" customFormat="1" ht="18" customHeight="1" x14ac:dyDescent="0.35">
      <c r="A1085" s="716"/>
      <c r="B1085" s="733"/>
      <c r="C1085" s="861"/>
      <c r="D1085" s="864"/>
      <c r="E1085" s="699"/>
      <c r="F1085" s="699"/>
      <c r="G1085" s="699"/>
      <c r="H1085" s="733"/>
      <c r="J1085" s="699"/>
      <c r="K1085" s="699"/>
      <c r="L1085" s="699"/>
      <c r="M1085" s="699"/>
      <c r="N1085" s="699"/>
    </row>
    <row r="1086" spans="1:14" ht="18" customHeight="1" x14ac:dyDescent="0.35"/>
    <row r="1087" spans="1:14" ht="18" customHeight="1" x14ac:dyDescent="0.35"/>
    <row r="1088" spans="1:14" ht="18" customHeight="1" x14ac:dyDescent="0.35"/>
    <row r="1089" spans="1:15" ht="18" customHeight="1" x14ac:dyDescent="0.35"/>
    <row r="1090" spans="1:15" ht="18" customHeight="1" x14ac:dyDescent="0.35"/>
    <row r="1091" spans="1:15" ht="18" customHeight="1" x14ac:dyDescent="0.35"/>
    <row r="1092" spans="1:15" ht="18" customHeight="1" x14ac:dyDescent="0.35"/>
    <row r="1093" spans="1:15" ht="18" customHeight="1" x14ac:dyDescent="0.35"/>
    <row r="1094" spans="1:15" ht="18" customHeight="1" x14ac:dyDescent="0.35"/>
    <row r="1095" spans="1:15" ht="18" customHeight="1" x14ac:dyDescent="0.35"/>
    <row r="1096" spans="1:15" ht="18" customHeight="1" x14ac:dyDescent="0.35"/>
    <row r="1097" spans="1:15" ht="18" customHeight="1" x14ac:dyDescent="0.35"/>
    <row r="1098" spans="1:15" ht="18" customHeight="1" x14ac:dyDescent="0.35"/>
    <row r="1099" spans="1:15" s="863" customFormat="1" ht="18" customHeight="1" x14ac:dyDescent="0.35">
      <c r="A1099" s="716"/>
      <c r="B1099" s="733"/>
      <c r="C1099" s="861"/>
      <c r="D1099" s="864"/>
      <c r="E1099" s="699"/>
      <c r="F1099" s="699"/>
      <c r="G1099" s="699"/>
      <c r="H1099" s="733"/>
      <c r="J1099" s="699"/>
      <c r="K1099" s="699"/>
      <c r="L1099" s="699"/>
      <c r="M1099" s="699"/>
      <c r="N1099" s="699"/>
    </row>
    <row r="1100" spans="1:15" ht="18" customHeight="1" x14ac:dyDescent="0.35"/>
    <row r="1101" spans="1:15" s="863" customFormat="1" ht="18" customHeight="1" x14ac:dyDescent="0.35">
      <c r="A1101" s="716"/>
      <c r="B1101" s="733"/>
      <c r="C1101" s="861"/>
      <c r="D1101" s="862"/>
      <c r="E1101" s="699"/>
      <c r="F1101" s="699"/>
      <c r="G1101" s="699"/>
      <c r="H1101" s="733"/>
      <c r="J1101" s="699"/>
      <c r="K1101" s="699"/>
      <c r="L1101" s="699"/>
      <c r="M1101" s="699"/>
      <c r="N1101" s="699"/>
      <c r="O1101" s="699"/>
    </row>
    <row r="1102" spans="1:15" s="863" customFormat="1" ht="18" customHeight="1" x14ac:dyDescent="0.35">
      <c r="A1102" s="716"/>
      <c r="B1102" s="733"/>
      <c r="C1102" s="861"/>
      <c r="D1102" s="862"/>
      <c r="E1102" s="699"/>
      <c r="F1102" s="699"/>
      <c r="G1102" s="699"/>
      <c r="H1102" s="733"/>
      <c r="J1102" s="699"/>
      <c r="K1102" s="699"/>
      <c r="L1102" s="699"/>
      <c r="M1102" s="699"/>
      <c r="N1102" s="699"/>
      <c r="O1102" s="699"/>
    </row>
    <row r="1103" spans="1:15" s="863" customFormat="1" x14ac:dyDescent="0.35">
      <c r="A1103" s="716"/>
      <c r="B1103" s="733"/>
      <c r="C1103" s="861"/>
      <c r="D1103" s="862"/>
      <c r="E1103" s="699"/>
      <c r="F1103" s="699"/>
      <c r="G1103" s="699"/>
      <c r="H1103" s="733"/>
      <c r="J1103" s="699"/>
      <c r="K1103" s="699"/>
      <c r="L1103" s="699"/>
      <c r="M1103" s="699"/>
      <c r="N1103" s="699"/>
      <c r="O1103" s="699"/>
    </row>
    <row r="1104" spans="1:15" s="863" customFormat="1" x14ac:dyDescent="0.35">
      <c r="A1104" s="716"/>
      <c r="B1104" s="733"/>
      <c r="C1104" s="861"/>
      <c r="D1104" s="862"/>
      <c r="E1104" s="699"/>
      <c r="F1104" s="699"/>
      <c r="G1104" s="699"/>
      <c r="H1104" s="733"/>
      <c r="J1104" s="699"/>
      <c r="K1104" s="699"/>
      <c r="L1104" s="699"/>
      <c r="M1104" s="699"/>
      <c r="N1104" s="699"/>
      <c r="O1104" s="699"/>
    </row>
    <row r="1105" spans="1:15" s="863" customFormat="1" x14ac:dyDescent="0.35">
      <c r="A1105" s="716"/>
      <c r="B1105" s="733"/>
      <c r="C1105" s="861"/>
      <c r="D1105" s="862"/>
      <c r="E1105" s="699"/>
      <c r="F1105" s="699"/>
      <c r="G1105" s="699"/>
      <c r="H1105" s="733"/>
      <c r="J1105" s="699"/>
      <c r="K1105" s="699"/>
      <c r="L1105" s="699"/>
      <c r="M1105" s="699"/>
      <c r="N1105" s="699"/>
      <c r="O1105" s="699"/>
    </row>
    <row r="1106" spans="1:15" s="863" customFormat="1" x14ac:dyDescent="0.35">
      <c r="A1106" s="716"/>
      <c r="B1106" s="733"/>
      <c r="C1106" s="861"/>
      <c r="D1106" s="862"/>
      <c r="E1106" s="699"/>
      <c r="F1106" s="699"/>
      <c r="G1106" s="699"/>
      <c r="H1106" s="733"/>
      <c r="J1106" s="699"/>
      <c r="K1106" s="699"/>
      <c r="L1106" s="699"/>
      <c r="M1106" s="699"/>
      <c r="N1106" s="699"/>
      <c r="O1106" s="699"/>
    </row>
    <row r="1107" spans="1:15" s="863" customFormat="1" x14ac:dyDescent="0.35">
      <c r="A1107" s="716"/>
      <c r="B1107" s="733"/>
      <c r="C1107" s="861"/>
      <c r="D1107" s="862"/>
      <c r="E1107" s="699"/>
      <c r="F1107" s="699"/>
      <c r="G1107" s="699"/>
      <c r="H1107" s="733"/>
      <c r="J1107" s="699"/>
      <c r="K1107" s="699"/>
      <c r="L1107" s="699"/>
      <c r="M1107" s="699"/>
      <c r="N1107" s="699"/>
      <c r="O1107" s="699"/>
    </row>
    <row r="1108" spans="1:15" s="863" customFormat="1" x14ac:dyDescent="0.35">
      <c r="A1108" s="716"/>
      <c r="B1108" s="733"/>
      <c r="C1108" s="861"/>
      <c r="D1108" s="862"/>
      <c r="E1108" s="699"/>
      <c r="F1108" s="699"/>
      <c r="G1108" s="699"/>
      <c r="H1108" s="733"/>
      <c r="J1108" s="699"/>
      <c r="K1108" s="699"/>
      <c r="L1108" s="699"/>
      <c r="M1108" s="699"/>
      <c r="N1108" s="699"/>
      <c r="O1108" s="699"/>
    </row>
    <row r="1109" spans="1:15" s="863" customFormat="1" x14ac:dyDescent="0.35">
      <c r="A1109" s="716"/>
      <c r="B1109" s="733"/>
      <c r="C1109" s="861"/>
      <c r="D1109" s="862"/>
      <c r="E1109" s="699"/>
      <c r="F1109" s="699"/>
      <c r="G1109" s="699"/>
      <c r="H1109" s="733"/>
      <c r="J1109" s="699"/>
      <c r="K1109" s="699"/>
      <c r="L1109" s="699"/>
      <c r="M1109" s="699"/>
      <c r="N1109" s="699"/>
      <c r="O1109" s="699"/>
    </row>
    <row r="1110" spans="1:15" s="863" customFormat="1" x14ac:dyDescent="0.35">
      <c r="A1110" s="716"/>
      <c r="B1110" s="733"/>
      <c r="C1110" s="861"/>
      <c r="D1110" s="862"/>
      <c r="E1110" s="699"/>
      <c r="F1110" s="699"/>
      <c r="G1110" s="699"/>
      <c r="H1110" s="733"/>
      <c r="J1110" s="699"/>
      <c r="K1110" s="699"/>
      <c r="L1110" s="699"/>
      <c r="M1110" s="699"/>
      <c r="N1110" s="699"/>
      <c r="O1110" s="699"/>
    </row>
    <row r="1111" spans="1:15" s="863" customFormat="1" x14ac:dyDescent="0.35">
      <c r="A1111" s="716"/>
      <c r="B1111" s="733"/>
      <c r="C1111" s="861"/>
      <c r="D1111" s="862"/>
      <c r="E1111" s="699"/>
      <c r="F1111" s="699"/>
      <c r="G1111" s="699"/>
      <c r="H1111" s="733"/>
      <c r="J1111" s="699"/>
      <c r="K1111" s="699"/>
      <c r="L1111" s="699"/>
      <c r="M1111" s="699"/>
      <c r="N1111" s="699"/>
      <c r="O1111" s="699"/>
    </row>
    <row r="1112" spans="1:15" s="863" customFormat="1" x14ac:dyDescent="0.35">
      <c r="A1112" s="716"/>
      <c r="B1112" s="733"/>
      <c r="C1112" s="861"/>
      <c r="D1112" s="862"/>
      <c r="E1112" s="699"/>
      <c r="F1112" s="699"/>
      <c r="G1112" s="699"/>
      <c r="H1112" s="733"/>
      <c r="J1112" s="699"/>
      <c r="K1112" s="699"/>
      <c r="L1112" s="699"/>
      <c r="M1112" s="699"/>
      <c r="N1112" s="699"/>
      <c r="O1112" s="699"/>
    </row>
    <row r="1113" spans="1:15" s="863" customFormat="1" x14ac:dyDescent="0.35">
      <c r="A1113" s="716"/>
      <c r="B1113" s="733"/>
      <c r="C1113" s="861"/>
      <c r="D1113" s="862"/>
      <c r="E1113" s="699"/>
      <c r="F1113" s="699"/>
      <c r="G1113" s="699"/>
      <c r="H1113" s="733"/>
      <c r="J1113" s="699"/>
      <c r="K1113" s="699"/>
      <c r="L1113" s="699"/>
      <c r="M1113" s="699"/>
      <c r="N1113" s="699"/>
      <c r="O1113" s="699"/>
    </row>
    <row r="1114" spans="1:15" s="863" customFormat="1" x14ac:dyDescent="0.35">
      <c r="A1114" s="716"/>
      <c r="B1114" s="733"/>
      <c r="C1114" s="861"/>
      <c r="D1114" s="862"/>
      <c r="E1114" s="699"/>
      <c r="F1114" s="699"/>
      <c r="G1114" s="699"/>
      <c r="H1114" s="733"/>
      <c r="J1114" s="699"/>
      <c r="K1114" s="699"/>
      <c r="L1114" s="699"/>
      <c r="M1114" s="699"/>
      <c r="N1114" s="699"/>
      <c r="O1114" s="699"/>
    </row>
    <row r="1115" spans="1:15" s="863" customFormat="1" x14ac:dyDescent="0.35">
      <c r="A1115" s="716"/>
      <c r="B1115" s="733"/>
      <c r="C1115" s="861"/>
      <c r="D1115" s="862"/>
      <c r="E1115" s="699"/>
      <c r="F1115" s="699"/>
      <c r="G1115" s="699"/>
      <c r="H1115" s="733"/>
      <c r="J1115" s="699"/>
      <c r="K1115" s="699"/>
      <c r="L1115" s="699"/>
      <c r="M1115" s="699"/>
      <c r="N1115" s="699"/>
      <c r="O1115" s="699"/>
    </row>
    <row r="1116" spans="1:15" s="863" customFormat="1" x14ac:dyDescent="0.35">
      <c r="A1116" s="716"/>
      <c r="B1116" s="733"/>
      <c r="C1116" s="861"/>
      <c r="D1116" s="862"/>
      <c r="E1116" s="699"/>
      <c r="F1116" s="699"/>
      <c r="G1116" s="699"/>
      <c r="H1116" s="733"/>
      <c r="J1116" s="699"/>
      <c r="K1116" s="699"/>
      <c r="L1116" s="699"/>
      <c r="M1116" s="699"/>
      <c r="N1116" s="699"/>
      <c r="O1116" s="699"/>
    </row>
    <row r="1117" spans="1:15" s="863" customFormat="1" x14ac:dyDescent="0.35">
      <c r="A1117" s="716"/>
      <c r="B1117" s="733"/>
      <c r="C1117" s="861"/>
      <c r="D1117" s="862"/>
      <c r="E1117" s="699"/>
      <c r="F1117" s="699"/>
      <c r="G1117" s="699"/>
      <c r="H1117" s="733"/>
      <c r="J1117" s="699"/>
      <c r="K1117" s="699"/>
      <c r="L1117" s="699"/>
      <c r="M1117" s="699"/>
      <c r="N1117" s="699"/>
      <c r="O1117" s="699"/>
    </row>
    <row r="1118" spans="1:15" s="863" customFormat="1" x14ac:dyDescent="0.35">
      <c r="A1118" s="716"/>
      <c r="B1118" s="733"/>
      <c r="C1118" s="861"/>
      <c r="D1118" s="862"/>
      <c r="E1118" s="699"/>
      <c r="F1118" s="699"/>
      <c r="G1118" s="699"/>
      <c r="H1118" s="733"/>
      <c r="J1118" s="699"/>
      <c r="K1118" s="699"/>
      <c r="L1118" s="699"/>
      <c r="M1118" s="699"/>
      <c r="N1118" s="699"/>
      <c r="O1118" s="699"/>
    </row>
    <row r="1119" spans="1:15" s="863" customFormat="1" x14ac:dyDescent="0.35">
      <c r="A1119" s="716"/>
      <c r="B1119" s="733"/>
      <c r="C1119" s="861"/>
      <c r="D1119" s="862"/>
      <c r="E1119" s="699"/>
      <c r="F1119" s="699"/>
      <c r="G1119" s="699"/>
      <c r="H1119" s="733"/>
      <c r="J1119" s="699"/>
      <c r="K1119" s="699"/>
      <c r="L1119" s="699"/>
      <c r="M1119" s="699"/>
      <c r="N1119" s="699"/>
      <c r="O1119" s="699"/>
    </row>
    <row r="1120" spans="1:15" s="863" customFormat="1" x14ac:dyDescent="0.35">
      <c r="A1120" s="716"/>
      <c r="B1120" s="733"/>
      <c r="C1120" s="861"/>
      <c r="D1120" s="862"/>
      <c r="E1120" s="699"/>
      <c r="F1120" s="699"/>
      <c r="G1120" s="699"/>
      <c r="H1120" s="733"/>
      <c r="J1120" s="699"/>
      <c r="K1120" s="699"/>
      <c r="L1120" s="699"/>
      <c r="M1120" s="699"/>
      <c r="N1120" s="699"/>
      <c r="O1120" s="699"/>
    </row>
    <row r="1121" spans="1:15" s="863" customFormat="1" x14ac:dyDescent="0.35">
      <c r="A1121" s="716"/>
      <c r="B1121" s="733"/>
      <c r="C1121" s="861"/>
      <c r="D1121" s="862"/>
      <c r="E1121" s="699"/>
      <c r="F1121" s="699"/>
      <c r="G1121" s="699"/>
      <c r="H1121" s="733"/>
      <c r="J1121" s="699"/>
      <c r="K1121" s="699"/>
      <c r="L1121" s="699"/>
      <c r="M1121" s="699"/>
      <c r="N1121" s="699"/>
      <c r="O1121" s="699"/>
    </row>
    <row r="1122" spans="1:15" s="863" customFormat="1" x14ac:dyDescent="0.35">
      <c r="A1122" s="716"/>
      <c r="B1122" s="733"/>
      <c r="C1122" s="861"/>
      <c r="D1122" s="862"/>
      <c r="E1122" s="699"/>
      <c r="F1122" s="699"/>
      <c r="G1122" s="699"/>
      <c r="H1122" s="733"/>
      <c r="J1122" s="699"/>
      <c r="K1122" s="699"/>
      <c r="L1122" s="699"/>
      <c r="M1122" s="699"/>
      <c r="N1122" s="699"/>
      <c r="O1122" s="699"/>
    </row>
    <row r="1123" spans="1:15" s="863" customFormat="1" x14ac:dyDescent="0.35">
      <c r="A1123" s="716"/>
      <c r="B1123" s="733"/>
      <c r="C1123" s="861"/>
      <c r="D1123" s="862"/>
      <c r="E1123" s="699"/>
      <c r="F1123" s="699"/>
      <c r="G1123" s="699"/>
      <c r="H1123" s="733"/>
      <c r="J1123" s="699"/>
      <c r="K1123" s="699"/>
      <c r="L1123" s="699"/>
      <c r="M1123" s="699"/>
      <c r="N1123" s="699"/>
      <c r="O1123" s="699"/>
    </row>
    <row r="1124" spans="1:15" s="863" customFormat="1" x14ac:dyDescent="0.35">
      <c r="A1124" s="716"/>
      <c r="B1124" s="733"/>
      <c r="C1124" s="861"/>
      <c r="D1124" s="862"/>
      <c r="E1124" s="699"/>
      <c r="F1124" s="699"/>
      <c r="G1124" s="699"/>
      <c r="H1124" s="733"/>
      <c r="J1124" s="699"/>
      <c r="K1124" s="699"/>
      <c r="L1124" s="699"/>
      <c r="M1124" s="699"/>
      <c r="N1124" s="699"/>
      <c r="O1124" s="699"/>
    </row>
    <row r="1125" spans="1:15" s="863" customFormat="1" x14ac:dyDescent="0.35">
      <c r="A1125" s="716"/>
      <c r="B1125" s="733"/>
      <c r="C1125" s="861"/>
      <c r="D1125" s="862"/>
      <c r="E1125" s="699"/>
      <c r="F1125" s="699"/>
      <c r="G1125" s="699"/>
      <c r="H1125" s="733"/>
      <c r="J1125" s="699"/>
      <c r="K1125" s="699"/>
      <c r="L1125" s="699"/>
      <c r="M1125" s="699"/>
      <c r="N1125" s="699"/>
      <c r="O1125" s="699"/>
    </row>
    <row r="1126" spans="1:15" s="863" customFormat="1" x14ac:dyDescent="0.35">
      <c r="A1126" s="716"/>
      <c r="B1126" s="733"/>
      <c r="C1126" s="861"/>
      <c r="D1126" s="862"/>
      <c r="E1126" s="699"/>
      <c r="F1126" s="699"/>
      <c r="G1126" s="699"/>
      <c r="H1126" s="733"/>
      <c r="J1126" s="699"/>
      <c r="K1126" s="699"/>
      <c r="L1126" s="699"/>
      <c r="M1126" s="699"/>
      <c r="N1126" s="699"/>
      <c r="O1126" s="699"/>
    </row>
    <row r="1127" spans="1:15" s="863" customFormat="1" x14ac:dyDescent="0.35">
      <c r="A1127" s="716"/>
      <c r="B1127" s="733"/>
      <c r="C1127" s="861"/>
      <c r="D1127" s="862"/>
      <c r="E1127" s="699"/>
      <c r="F1127" s="699"/>
      <c r="G1127" s="699"/>
      <c r="H1127" s="733"/>
      <c r="J1127" s="699"/>
      <c r="K1127" s="699"/>
      <c r="L1127" s="699"/>
      <c r="M1127" s="699"/>
      <c r="N1127" s="699"/>
      <c r="O1127" s="699"/>
    </row>
    <row r="1128" spans="1:15" s="863" customFormat="1" x14ac:dyDescent="0.35">
      <c r="A1128" s="716"/>
      <c r="B1128" s="733"/>
      <c r="C1128" s="861"/>
      <c r="D1128" s="862"/>
      <c r="E1128" s="699"/>
      <c r="F1128" s="699"/>
      <c r="G1128" s="699"/>
      <c r="H1128" s="733"/>
      <c r="J1128" s="699"/>
      <c r="K1128" s="699"/>
      <c r="L1128" s="699"/>
      <c r="M1128" s="699"/>
      <c r="N1128" s="699"/>
      <c r="O1128" s="699"/>
    </row>
    <row r="1129" spans="1:15" s="863" customFormat="1" x14ac:dyDescent="0.35">
      <c r="A1129" s="716"/>
      <c r="B1129" s="733"/>
      <c r="C1129" s="861"/>
      <c r="D1129" s="862"/>
      <c r="E1129" s="699"/>
      <c r="F1129" s="699"/>
      <c r="G1129" s="699"/>
      <c r="H1129" s="733"/>
      <c r="J1129" s="699"/>
      <c r="K1129" s="699"/>
      <c r="L1129" s="699"/>
      <c r="M1129" s="699"/>
      <c r="N1129" s="699"/>
      <c r="O1129" s="699"/>
    </row>
    <row r="1130" spans="1:15" s="863" customFormat="1" x14ac:dyDescent="0.35">
      <c r="A1130" s="716"/>
      <c r="B1130" s="733"/>
      <c r="C1130" s="861"/>
      <c r="D1130" s="862"/>
      <c r="E1130" s="699"/>
      <c r="F1130" s="699"/>
      <c r="G1130" s="699"/>
      <c r="H1130" s="733"/>
      <c r="J1130" s="699"/>
      <c r="K1130" s="699"/>
      <c r="L1130" s="699"/>
      <c r="M1130" s="699"/>
      <c r="N1130" s="699"/>
      <c r="O1130" s="699"/>
    </row>
    <row r="1131" spans="1:15" s="863" customFormat="1" x14ac:dyDescent="0.35">
      <c r="A1131" s="716"/>
      <c r="B1131" s="733"/>
      <c r="C1131" s="861"/>
      <c r="D1131" s="862"/>
      <c r="E1131" s="699"/>
      <c r="F1131" s="699"/>
      <c r="G1131" s="699"/>
      <c r="H1131" s="733"/>
      <c r="J1131" s="699"/>
      <c r="K1131" s="699"/>
      <c r="L1131" s="699"/>
      <c r="M1131" s="699"/>
      <c r="N1131" s="699"/>
      <c r="O1131" s="699"/>
    </row>
    <row r="1132" spans="1:15" s="863" customFormat="1" x14ac:dyDescent="0.35">
      <c r="A1132" s="716"/>
      <c r="B1132" s="733"/>
      <c r="C1132" s="861"/>
      <c r="D1132" s="862"/>
      <c r="E1132" s="699"/>
      <c r="F1132" s="699"/>
      <c r="G1132" s="699"/>
      <c r="H1132" s="733"/>
      <c r="J1132" s="699"/>
      <c r="K1132" s="699"/>
      <c r="L1132" s="699"/>
      <c r="M1132" s="699"/>
      <c r="N1132" s="699"/>
      <c r="O1132" s="699"/>
    </row>
    <row r="1133" spans="1:15" s="863" customFormat="1" x14ac:dyDescent="0.35">
      <c r="A1133" s="716"/>
      <c r="B1133" s="733"/>
      <c r="C1133" s="861"/>
      <c r="D1133" s="862"/>
      <c r="E1133" s="699"/>
      <c r="F1133" s="699"/>
      <c r="G1133" s="699"/>
      <c r="H1133" s="733"/>
      <c r="J1133" s="699"/>
      <c r="K1133" s="699"/>
      <c r="L1133" s="699"/>
      <c r="M1133" s="699"/>
      <c r="N1133" s="699"/>
      <c r="O1133" s="699"/>
    </row>
    <row r="1134" spans="1:15" s="863" customFormat="1" x14ac:dyDescent="0.35">
      <c r="A1134" s="716"/>
      <c r="B1134" s="733"/>
      <c r="C1134" s="861"/>
      <c r="D1134" s="862"/>
      <c r="E1134" s="699"/>
      <c r="F1134" s="699"/>
      <c r="G1134" s="699"/>
      <c r="H1134" s="733"/>
      <c r="J1134" s="699"/>
      <c r="K1134" s="699"/>
      <c r="L1134" s="699"/>
      <c r="M1134" s="699"/>
      <c r="N1134" s="699"/>
      <c r="O1134" s="699"/>
    </row>
    <row r="1135" spans="1:15" s="863" customFormat="1" x14ac:dyDescent="0.35">
      <c r="A1135" s="716"/>
      <c r="B1135" s="733"/>
      <c r="C1135" s="861"/>
      <c r="D1135" s="862"/>
      <c r="E1135" s="699"/>
      <c r="F1135" s="699"/>
      <c r="G1135" s="699"/>
      <c r="H1135" s="733"/>
      <c r="J1135" s="699"/>
      <c r="K1135" s="699"/>
      <c r="L1135" s="699"/>
      <c r="M1135" s="699"/>
      <c r="N1135" s="699"/>
      <c r="O1135" s="699"/>
    </row>
    <row r="1136" spans="1:15" s="863" customFormat="1" x14ac:dyDescent="0.35">
      <c r="A1136" s="716"/>
      <c r="B1136" s="733"/>
      <c r="C1136" s="861"/>
      <c r="D1136" s="862"/>
      <c r="E1136" s="699"/>
      <c r="F1136" s="699"/>
      <c r="G1136" s="699"/>
      <c r="H1136" s="733"/>
      <c r="J1136" s="699"/>
      <c r="K1136" s="699"/>
      <c r="L1136" s="699"/>
      <c r="M1136" s="699"/>
      <c r="N1136" s="699"/>
      <c r="O1136" s="699"/>
    </row>
    <row r="1137" spans="1:15" s="863" customFormat="1" x14ac:dyDescent="0.35">
      <c r="A1137" s="716"/>
      <c r="B1137" s="733"/>
      <c r="C1137" s="861"/>
      <c r="D1137" s="862"/>
      <c r="E1137" s="699"/>
      <c r="F1137" s="699"/>
      <c r="G1137" s="699"/>
      <c r="H1137" s="733"/>
      <c r="J1137" s="699"/>
      <c r="K1137" s="699"/>
      <c r="L1137" s="699"/>
      <c r="M1137" s="699"/>
      <c r="N1137" s="699"/>
      <c r="O1137" s="699"/>
    </row>
    <row r="1138" spans="1:15" s="863" customFormat="1" x14ac:dyDescent="0.35">
      <c r="A1138" s="716"/>
      <c r="B1138" s="733"/>
      <c r="C1138" s="861"/>
      <c r="D1138" s="862"/>
      <c r="E1138" s="699"/>
      <c r="F1138" s="699"/>
      <c r="G1138" s="699"/>
      <c r="H1138" s="733"/>
      <c r="J1138" s="699"/>
      <c r="K1138" s="699"/>
      <c r="L1138" s="699"/>
      <c r="M1138" s="699"/>
      <c r="N1138" s="699"/>
      <c r="O1138" s="699"/>
    </row>
    <row r="1139" spans="1:15" s="863" customFormat="1" x14ac:dyDescent="0.35">
      <c r="A1139" s="716"/>
      <c r="B1139" s="733"/>
      <c r="C1139" s="861"/>
      <c r="D1139" s="862"/>
      <c r="E1139" s="699"/>
      <c r="F1139" s="699"/>
      <c r="G1139" s="699"/>
      <c r="H1139" s="733"/>
      <c r="J1139" s="699"/>
      <c r="K1139" s="699"/>
      <c r="L1139" s="699"/>
      <c r="M1139" s="699"/>
      <c r="N1139" s="699"/>
      <c r="O1139" s="699"/>
    </row>
    <row r="1140" spans="1:15" s="863" customFormat="1" x14ac:dyDescent="0.35">
      <c r="A1140" s="716"/>
      <c r="B1140" s="733"/>
      <c r="C1140" s="861"/>
      <c r="D1140" s="862"/>
      <c r="E1140" s="699"/>
      <c r="F1140" s="699"/>
      <c r="G1140" s="699"/>
      <c r="H1140" s="733"/>
      <c r="J1140" s="699"/>
      <c r="K1140" s="699"/>
      <c r="L1140" s="699"/>
      <c r="M1140" s="699"/>
      <c r="N1140" s="699"/>
      <c r="O1140" s="699"/>
    </row>
    <row r="1141" spans="1:15" s="863" customFormat="1" x14ac:dyDescent="0.35">
      <c r="A1141" s="716"/>
      <c r="B1141" s="733"/>
      <c r="C1141" s="861"/>
      <c r="D1141" s="862"/>
      <c r="E1141" s="699"/>
      <c r="F1141" s="699"/>
      <c r="G1141" s="699"/>
      <c r="H1141" s="733"/>
      <c r="J1141" s="699"/>
      <c r="K1141" s="699"/>
      <c r="L1141" s="699"/>
      <c r="M1141" s="699"/>
      <c r="N1141" s="699"/>
      <c r="O1141" s="699"/>
    </row>
    <row r="1142" spans="1:15" s="863" customFormat="1" x14ac:dyDescent="0.35">
      <c r="A1142" s="716"/>
      <c r="B1142" s="733"/>
      <c r="C1142" s="861"/>
      <c r="D1142" s="862"/>
      <c r="E1142" s="699"/>
      <c r="F1142" s="699"/>
      <c r="G1142" s="699"/>
      <c r="H1142" s="733"/>
      <c r="J1142" s="699"/>
      <c r="K1142" s="699"/>
      <c r="L1142" s="699"/>
      <c r="M1142" s="699"/>
      <c r="N1142" s="699"/>
      <c r="O1142" s="699"/>
    </row>
    <row r="1143" spans="1:15" s="863" customFormat="1" x14ac:dyDescent="0.35">
      <c r="A1143" s="716"/>
      <c r="B1143" s="733"/>
      <c r="C1143" s="861"/>
      <c r="D1143" s="862"/>
      <c r="E1143" s="699"/>
      <c r="F1143" s="699"/>
      <c r="G1143" s="699"/>
      <c r="H1143" s="733"/>
      <c r="J1143" s="699"/>
      <c r="K1143" s="699"/>
      <c r="L1143" s="699"/>
      <c r="M1143" s="699"/>
      <c r="N1143" s="699"/>
      <c r="O1143" s="699"/>
    </row>
    <row r="1144" spans="1:15" s="863" customFormat="1" x14ac:dyDescent="0.35">
      <c r="A1144" s="716"/>
      <c r="B1144" s="733"/>
      <c r="C1144" s="861"/>
      <c r="D1144" s="862"/>
      <c r="E1144" s="699"/>
      <c r="F1144" s="699"/>
      <c r="G1144" s="699"/>
      <c r="H1144" s="733"/>
      <c r="J1144" s="699"/>
      <c r="K1144" s="699"/>
      <c r="L1144" s="699"/>
      <c r="M1144" s="699"/>
      <c r="N1144" s="699"/>
      <c r="O1144" s="699"/>
    </row>
    <row r="1145" spans="1:15" s="863" customFormat="1" x14ac:dyDescent="0.35">
      <c r="A1145" s="716"/>
      <c r="B1145" s="733"/>
      <c r="C1145" s="861"/>
      <c r="D1145" s="862"/>
      <c r="E1145" s="699"/>
      <c r="F1145" s="699"/>
      <c r="G1145" s="699"/>
      <c r="H1145" s="733"/>
      <c r="J1145" s="699"/>
      <c r="K1145" s="699"/>
      <c r="L1145" s="699"/>
      <c r="M1145" s="699"/>
      <c r="N1145" s="699"/>
      <c r="O1145" s="699"/>
    </row>
    <row r="1146" spans="1:15" s="863" customFormat="1" x14ac:dyDescent="0.35">
      <c r="A1146" s="716"/>
      <c r="B1146" s="733"/>
      <c r="C1146" s="861"/>
      <c r="D1146" s="862"/>
      <c r="E1146" s="699"/>
      <c r="F1146" s="699"/>
      <c r="G1146" s="699"/>
      <c r="H1146" s="733"/>
      <c r="J1146" s="699"/>
      <c r="K1146" s="699"/>
      <c r="L1146" s="699"/>
      <c r="M1146" s="699"/>
      <c r="N1146" s="699"/>
      <c r="O1146" s="699"/>
    </row>
    <row r="1147" spans="1:15" s="863" customFormat="1" x14ac:dyDescent="0.35">
      <c r="A1147" s="716"/>
      <c r="B1147" s="733"/>
      <c r="C1147" s="861"/>
      <c r="D1147" s="862"/>
      <c r="E1147" s="699"/>
      <c r="F1147" s="699"/>
      <c r="G1147" s="699"/>
      <c r="H1147" s="733"/>
      <c r="J1147" s="699"/>
      <c r="K1147" s="699"/>
      <c r="L1147" s="699"/>
      <c r="M1147" s="699"/>
      <c r="N1147" s="699"/>
      <c r="O1147" s="699"/>
    </row>
    <row r="1148" spans="1:15" s="863" customFormat="1" x14ac:dyDescent="0.35">
      <c r="A1148" s="716"/>
      <c r="B1148" s="733"/>
      <c r="C1148" s="861"/>
      <c r="D1148" s="862"/>
      <c r="E1148" s="699"/>
      <c r="F1148" s="699"/>
      <c r="G1148" s="699"/>
      <c r="H1148" s="733"/>
      <c r="J1148" s="699"/>
      <c r="K1148" s="699"/>
      <c r="L1148" s="699"/>
      <c r="M1148" s="699"/>
      <c r="N1148" s="699"/>
      <c r="O1148" s="699"/>
    </row>
    <row r="1149" spans="1:15" s="863" customFormat="1" x14ac:dyDescent="0.35">
      <c r="A1149" s="716"/>
      <c r="B1149" s="733"/>
      <c r="C1149" s="861"/>
      <c r="D1149" s="862"/>
      <c r="E1149" s="699"/>
      <c r="F1149" s="699"/>
      <c r="G1149" s="699"/>
      <c r="H1149" s="733"/>
      <c r="J1149" s="699"/>
      <c r="K1149" s="699"/>
      <c r="L1149" s="699"/>
      <c r="M1149" s="699"/>
      <c r="N1149" s="699"/>
      <c r="O1149" s="699"/>
    </row>
    <row r="1150" spans="1:15" s="863" customFormat="1" x14ac:dyDescent="0.35">
      <c r="A1150" s="716"/>
      <c r="B1150" s="733"/>
      <c r="C1150" s="861"/>
      <c r="D1150" s="862"/>
      <c r="E1150" s="699"/>
      <c r="F1150" s="699"/>
      <c r="G1150" s="699"/>
      <c r="H1150" s="733"/>
      <c r="J1150" s="699"/>
      <c r="K1150" s="699"/>
      <c r="L1150" s="699"/>
      <c r="M1150" s="699"/>
      <c r="N1150" s="699"/>
      <c r="O1150" s="699"/>
    </row>
    <row r="1151" spans="1:15" s="863" customFormat="1" x14ac:dyDescent="0.35">
      <c r="A1151" s="716"/>
      <c r="B1151" s="733"/>
      <c r="C1151" s="861"/>
      <c r="D1151" s="862"/>
      <c r="E1151" s="699"/>
      <c r="F1151" s="699"/>
      <c r="G1151" s="699"/>
      <c r="H1151" s="733"/>
      <c r="J1151" s="699"/>
      <c r="K1151" s="699"/>
      <c r="L1151" s="699"/>
      <c r="M1151" s="699"/>
      <c r="N1151" s="699"/>
      <c r="O1151" s="699"/>
    </row>
    <row r="1152" spans="1:15" s="863" customFormat="1" x14ac:dyDescent="0.35">
      <c r="A1152" s="716"/>
      <c r="B1152" s="733"/>
      <c r="C1152" s="861"/>
      <c r="D1152" s="862"/>
      <c r="E1152" s="699"/>
      <c r="F1152" s="699"/>
      <c r="G1152" s="699"/>
      <c r="H1152" s="733"/>
      <c r="J1152" s="699"/>
      <c r="K1152" s="699"/>
      <c r="L1152" s="699"/>
      <c r="M1152" s="699"/>
      <c r="N1152" s="699"/>
      <c r="O1152" s="699"/>
    </row>
    <row r="1153" spans="1:15" s="863" customFormat="1" x14ac:dyDescent="0.35">
      <c r="A1153" s="716"/>
      <c r="B1153" s="733"/>
      <c r="C1153" s="861"/>
      <c r="D1153" s="862"/>
      <c r="E1153" s="699"/>
      <c r="F1153" s="699"/>
      <c r="G1153" s="699"/>
      <c r="H1153" s="733"/>
      <c r="J1153" s="699"/>
      <c r="K1153" s="699"/>
      <c r="L1153" s="699"/>
      <c r="M1153" s="699"/>
      <c r="N1153" s="699"/>
      <c r="O1153" s="699"/>
    </row>
  </sheetData>
  <mergeCells count="19">
    <mergeCell ref="B1:J1"/>
    <mergeCell ref="B2:D2"/>
    <mergeCell ref="G2:I2"/>
    <mergeCell ref="B3:N3"/>
    <mergeCell ref="B4:N4"/>
    <mergeCell ref="M5:N5"/>
    <mergeCell ref="D1016:G1016"/>
    <mergeCell ref="B1033:D1033"/>
    <mergeCell ref="I7:I8"/>
    <mergeCell ref="J7:N7"/>
    <mergeCell ref="E7:E8"/>
    <mergeCell ref="B7:B8"/>
    <mergeCell ref="C7:C8"/>
    <mergeCell ref="G7:G8"/>
    <mergeCell ref="D7:D8"/>
    <mergeCell ref="F7:F8"/>
    <mergeCell ref="H7:H8"/>
    <mergeCell ref="B1031:D1031"/>
    <mergeCell ref="D154:E154"/>
  </mergeCells>
  <printOptions horizontalCentered="1"/>
  <pageMargins left="0.19685039370078741" right="0.19685039370078741" top="0.59055118110236227" bottom="0.59055118110236227" header="0.51181102362204722" footer="0.51181102362204722"/>
  <pageSetup paperSize="9" scale="66" fitToHeight="0" orientation="landscape" r:id="rId1"/>
  <headerFooter alignWithMargins="0">
    <oddFooter>&amp;C- &amp;P -</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IQ554"/>
  <sheetViews>
    <sheetView view="pageBreakPreview" topLeftCell="E545" zoomScaleNormal="100" zoomScaleSheetLayoutView="100" workbookViewId="0">
      <selection activeCell="A5" sqref="A5:M554"/>
    </sheetView>
  </sheetViews>
  <sheetFormatPr defaultColWidth="9.28515625" defaultRowHeight="15" x14ac:dyDescent="0.3"/>
  <cols>
    <col min="1" max="1" width="3.7109375" style="588" customWidth="1"/>
    <col min="2" max="2" width="5.7109375" style="589" customWidth="1"/>
    <col min="3" max="3" width="5.7109375" style="590" customWidth="1"/>
    <col min="4" max="4" width="59.7109375" style="591" customWidth="1"/>
    <col min="5" max="7" width="10.7109375" style="624" customWidth="1"/>
    <col min="8" max="8" width="6.7109375" style="592" customWidth="1"/>
    <col min="9" max="11" width="14.7109375" style="624" customWidth="1"/>
    <col min="12" max="12" width="15.7109375" style="624" customWidth="1"/>
    <col min="13" max="13" width="13.7109375" style="624" customWidth="1"/>
    <col min="14" max="16384" width="9.28515625" style="179"/>
  </cols>
  <sheetData>
    <row r="1" spans="1:251" ht="16.5" x14ac:dyDescent="0.3">
      <c r="B1" s="19" t="s">
        <v>870</v>
      </c>
      <c r="C1" s="19"/>
      <c r="D1" s="19"/>
      <c r="E1" s="19"/>
      <c r="F1" s="19"/>
      <c r="G1" s="19"/>
      <c r="H1" s="19"/>
      <c r="I1" s="19"/>
      <c r="J1" s="19"/>
    </row>
    <row r="2" spans="1:251" s="119" customFormat="1" ht="18" customHeight="1" x14ac:dyDescent="0.3">
      <c r="A2" s="586"/>
      <c r="B2" s="1983" t="s">
        <v>799</v>
      </c>
      <c r="C2" s="1983"/>
      <c r="D2" s="1983"/>
      <c r="E2" s="1599"/>
      <c r="F2" s="1599"/>
      <c r="G2" s="1599"/>
      <c r="H2" s="587"/>
      <c r="I2" s="1984"/>
      <c r="J2" s="1984"/>
      <c r="K2" s="1984"/>
      <c r="L2" s="1984"/>
      <c r="M2" s="1984"/>
      <c r="N2" s="175"/>
      <c r="O2" s="175"/>
      <c r="P2" s="175"/>
      <c r="Q2" s="175"/>
      <c r="R2" s="175"/>
      <c r="S2" s="175"/>
      <c r="T2" s="175"/>
      <c r="U2" s="175"/>
      <c r="V2" s="175"/>
      <c r="W2" s="175"/>
      <c r="X2" s="175"/>
      <c r="Y2" s="175"/>
      <c r="Z2" s="175"/>
      <c r="AA2" s="175"/>
      <c r="AB2" s="175"/>
      <c r="AC2" s="175"/>
      <c r="AD2" s="175"/>
      <c r="AE2" s="175"/>
      <c r="AF2" s="175"/>
      <c r="AG2" s="175"/>
      <c r="AH2" s="175"/>
      <c r="AI2" s="175"/>
      <c r="AJ2" s="175"/>
      <c r="AK2" s="175"/>
      <c r="AL2" s="175"/>
      <c r="AM2" s="175"/>
      <c r="AN2" s="175"/>
      <c r="AO2" s="175"/>
      <c r="AP2" s="175"/>
      <c r="AQ2" s="175"/>
      <c r="AR2" s="175"/>
      <c r="AS2" s="175"/>
      <c r="AT2" s="175"/>
      <c r="AU2" s="175"/>
      <c r="AV2" s="175"/>
      <c r="AW2" s="175"/>
      <c r="AX2" s="175"/>
      <c r="AY2" s="175"/>
      <c r="AZ2" s="175"/>
      <c r="BA2" s="175"/>
      <c r="BB2" s="175"/>
      <c r="BC2" s="175"/>
      <c r="BD2" s="175"/>
      <c r="BE2" s="175"/>
      <c r="BF2" s="175"/>
      <c r="BG2" s="175"/>
      <c r="BH2" s="175"/>
      <c r="BI2" s="175"/>
      <c r="BJ2" s="175"/>
      <c r="BK2" s="175"/>
      <c r="BL2" s="175"/>
      <c r="BM2" s="175"/>
      <c r="BN2" s="175"/>
      <c r="BO2" s="175"/>
      <c r="BP2" s="175"/>
      <c r="BQ2" s="175"/>
      <c r="BR2" s="175"/>
      <c r="BS2" s="175"/>
      <c r="BT2" s="175"/>
      <c r="BU2" s="175"/>
      <c r="BV2" s="175"/>
      <c r="BW2" s="175"/>
      <c r="BX2" s="175"/>
      <c r="BY2" s="175"/>
      <c r="BZ2" s="175"/>
      <c r="CA2" s="175"/>
      <c r="CB2" s="175"/>
      <c r="CC2" s="175"/>
      <c r="CD2" s="175"/>
      <c r="CE2" s="175"/>
      <c r="CF2" s="175"/>
      <c r="CG2" s="175"/>
      <c r="CH2" s="175"/>
      <c r="CI2" s="175"/>
      <c r="CJ2" s="175"/>
      <c r="CK2" s="175"/>
      <c r="CL2" s="175"/>
      <c r="CM2" s="175"/>
      <c r="CN2" s="175"/>
      <c r="CO2" s="175"/>
      <c r="CP2" s="175"/>
      <c r="CQ2" s="175"/>
      <c r="CR2" s="175"/>
      <c r="CS2" s="175"/>
      <c r="CT2" s="175"/>
      <c r="CU2" s="175"/>
      <c r="CV2" s="175"/>
      <c r="CW2" s="175"/>
      <c r="CX2" s="175"/>
      <c r="CY2" s="175"/>
      <c r="CZ2" s="175"/>
      <c r="DA2" s="175"/>
      <c r="DB2" s="175"/>
      <c r="DC2" s="175"/>
      <c r="DD2" s="175"/>
      <c r="DE2" s="175"/>
      <c r="DF2" s="175"/>
      <c r="DG2" s="175"/>
      <c r="DH2" s="175"/>
      <c r="DI2" s="175"/>
      <c r="DJ2" s="175"/>
      <c r="DK2" s="175"/>
      <c r="DL2" s="175"/>
      <c r="DM2" s="175"/>
      <c r="DN2" s="175"/>
      <c r="DO2" s="175"/>
      <c r="DP2" s="175"/>
      <c r="DQ2" s="175"/>
      <c r="DR2" s="175"/>
      <c r="DS2" s="175"/>
      <c r="DT2" s="175"/>
      <c r="DU2" s="175"/>
      <c r="DV2" s="175"/>
      <c r="DW2" s="175"/>
      <c r="DX2" s="175"/>
      <c r="DY2" s="175"/>
      <c r="DZ2" s="175"/>
      <c r="EA2" s="175"/>
      <c r="EB2" s="175"/>
      <c r="EC2" s="175"/>
      <c r="ED2" s="175"/>
      <c r="EE2" s="175"/>
      <c r="EF2" s="175"/>
      <c r="EG2" s="175"/>
      <c r="EH2" s="175"/>
      <c r="EI2" s="175"/>
      <c r="EJ2" s="175"/>
      <c r="EK2" s="175"/>
      <c r="EL2" s="175"/>
      <c r="EM2" s="175"/>
      <c r="EN2" s="175"/>
      <c r="EO2" s="175"/>
      <c r="EP2" s="175"/>
      <c r="EQ2" s="175"/>
      <c r="ER2" s="175"/>
      <c r="ES2" s="175"/>
      <c r="ET2" s="175"/>
      <c r="EU2" s="175"/>
      <c r="EV2" s="175"/>
      <c r="EW2" s="175"/>
      <c r="EX2" s="175"/>
      <c r="EY2" s="175"/>
      <c r="EZ2" s="175"/>
      <c r="FA2" s="175"/>
      <c r="FB2" s="175"/>
      <c r="FC2" s="175"/>
      <c r="FD2" s="175"/>
      <c r="FE2" s="175"/>
      <c r="FF2" s="175"/>
      <c r="FG2" s="175"/>
      <c r="FH2" s="175"/>
      <c r="FI2" s="175"/>
      <c r="FJ2" s="175"/>
      <c r="FK2" s="175"/>
      <c r="FL2" s="175"/>
      <c r="FM2" s="175"/>
      <c r="FN2" s="175"/>
      <c r="FO2" s="175"/>
      <c r="FP2" s="175"/>
      <c r="FQ2" s="175"/>
      <c r="FR2" s="175"/>
      <c r="FS2" s="175"/>
      <c r="FT2" s="175"/>
      <c r="FU2" s="175"/>
      <c r="FV2" s="175"/>
      <c r="FW2" s="175"/>
      <c r="FX2" s="175"/>
      <c r="FY2" s="175"/>
      <c r="FZ2" s="175"/>
      <c r="GA2" s="175"/>
      <c r="GB2" s="175"/>
      <c r="GC2" s="175"/>
      <c r="GD2" s="175"/>
      <c r="GE2" s="175"/>
      <c r="GF2" s="175"/>
      <c r="GG2" s="175"/>
      <c r="GH2" s="175"/>
      <c r="GI2" s="175"/>
      <c r="GJ2" s="175"/>
      <c r="GK2" s="175"/>
      <c r="GL2" s="175"/>
      <c r="GM2" s="175"/>
      <c r="GN2" s="175"/>
      <c r="GO2" s="175"/>
      <c r="GP2" s="175"/>
      <c r="GQ2" s="175"/>
      <c r="GR2" s="175"/>
      <c r="GS2" s="175"/>
      <c r="GT2" s="175"/>
      <c r="GU2" s="175"/>
      <c r="GV2" s="175"/>
      <c r="GW2" s="175"/>
      <c r="GX2" s="175"/>
      <c r="GY2" s="175"/>
      <c r="GZ2" s="175"/>
      <c r="HA2" s="175"/>
      <c r="HB2" s="175"/>
      <c r="HC2" s="175"/>
      <c r="HD2" s="175"/>
      <c r="HE2" s="175"/>
      <c r="HF2" s="175"/>
      <c r="HG2" s="175"/>
      <c r="HH2" s="175"/>
      <c r="HI2" s="175"/>
      <c r="HJ2" s="175"/>
      <c r="HK2" s="175"/>
      <c r="HL2" s="175"/>
      <c r="HM2" s="175"/>
      <c r="HN2" s="175"/>
      <c r="HO2" s="175"/>
      <c r="HP2" s="175"/>
      <c r="HQ2" s="175"/>
      <c r="HR2" s="175"/>
      <c r="HS2" s="175"/>
      <c r="HT2" s="175"/>
      <c r="HU2" s="175"/>
      <c r="HV2" s="175"/>
      <c r="HW2" s="175"/>
      <c r="HX2" s="175"/>
      <c r="HY2" s="175"/>
      <c r="HZ2" s="175"/>
      <c r="IA2" s="175"/>
      <c r="IB2" s="175"/>
      <c r="IC2" s="175"/>
      <c r="ID2" s="175"/>
      <c r="IE2" s="175"/>
      <c r="IF2" s="175"/>
      <c r="IG2" s="175"/>
      <c r="IH2" s="175"/>
      <c r="II2" s="175"/>
      <c r="IJ2" s="175"/>
      <c r="IK2" s="175"/>
      <c r="IL2" s="175"/>
      <c r="IM2" s="175"/>
      <c r="IN2" s="175"/>
      <c r="IO2" s="175"/>
      <c r="IP2" s="175"/>
      <c r="IQ2" s="175"/>
    </row>
    <row r="3" spans="1:251" s="119" customFormat="1" ht="18" customHeight="1" x14ac:dyDescent="0.35">
      <c r="A3" s="588"/>
      <c r="B3" s="1985" t="s">
        <v>14</v>
      </c>
      <c r="C3" s="1985"/>
      <c r="D3" s="1985"/>
      <c r="E3" s="1985"/>
      <c r="F3" s="1985"/>
      <c r="G3" s="1985"/>
      <c r="H3" s="1985"/>
      <c r="I3" s="1985"/>
      <c r="J3" s="1985"/>
      <c r="K3" s="1985"/>
      <c r="L3" s="1985"/>
      <c r="M3" s="1985"/>
    </row>
    <row r="4" spans="1:251" s="119" customFormat="1" ht="18" customHeight="1" x14ac:dyDescent="0.3">
      <c r="A4" s="588"/>
      <c r="B4" s="1986" t="s">
        <v>528</v>
      </c>
      <c r="C4" s="1986"/>
      <c r="D4" s="1986"/>
      <c r="E4" s="1986"/>
      <c r="F4" s="1986"/>
      <c r="G4" s="1986"/>
      <c r="H4" s="1986"/>
      <c r="I4" s="1986"/>
      <c r="J4" s="1986"/>
      <c r="K4" s="1986"/>
      <c r="L4" s="1986"/>
      <c r="M4" s="1986"/>
    </row>
    <row r="5" spans="1:251" ht="18" customHeight="1" x14ac:dyDescent="0.3">
      <c r="M5" s="1600" t="s">
        <v>0</v>
      </c>
    </row>
    <row r="6" spans="1:251" s="55" customFormat="1" ht="18" customHeight="1" thickBot="1" x14ac:dyDescent="0.25">
      <c r="A6" s="588"/>
      <c r="B6" s="593" t="s">
        <v>1</v>
      </c>
      <c r="C6" s="594" t="s">
        <v>3</v>
      </c>
      <c r="D6" s="594" t="s">
        <v>2</v>
      </c>
      <c r="E6" s="594" t="s">
        <v>4</v>
      </c>
      <c r="F6" s="594" t="s">
        <v>5</v>
      </c>
      <c r="G6" s="594" t="s">
        <v>15</v>
      </c>
      <c r="H6" s="594" t="s">
        <v>16</v>
      </c>
      <c r="I6" s="594" t="s">
        <v>17</v>
      </c>
      <c r="J6" s="594" t="s">
        <v>32</v>
      </c>
      <c r="K6" s="594" t="s">
        <v>28</v>
      </c>
      <c r="L6" s="594" t="s">
        <v>23</v>
      </c>
      <c r="M6" s="594" t="s">
        <v>33</v>
      </c>
      <c r="N6" s="588"/>
      <c r="O6" s="588"/>
      <c r="P6" s="588"/>
      <c r="Q6" s="588"/>
      <c r="R6" s="588"/>
      <c r="S6" s="588"/>
      <c r="T6" s="588"/>
      <c r="U6" s="588"/>
      <c r="V6" s="588"/>
      <c r="W6" s="588"/>
      <c r="X6" s="588"/>
      <c r="Y6" s="588"/>
      <c r="Z6" s="588"/>
      <c r="AA6" s="588"/>
      <c r="AB6" s="588"/>
      <c r="AC6" s="588"/>
      <c r="AD6" s="588"/>
      <c r="AE6" s="588"/>
      <c r="AF6" s="588"/>
      <c r="AG6" s="588"/>
      <c r="AH6" s="588"/>
      <c r="AI6" s="588"/>
      <c r="AJ6" s="588"/>
      <c r="AK6" s="588"/>
      <c r="AL6" s="588"/>
      <c r="AM6" s="588"/>
      <c r="AN6" s="588"/>
      <c r="AO6" s="588"/>
      <c r="AP6" s="588"/>
      <c r="AQ6" s="588"/>
      <c r="AR6" s="588"/>
      <c r="AS6" s="588"/>
      <c r="AT6" s="588"/>
      <c r="AU6" s="588"/>
      <c r="AV6" s="588"/>
      <c r="AW6" s="588"/>
      <c r="AX6" s="588"/>
      <c r="AY6" s="588"/>
      <c r="AZ6" s="588"/>
      <c r="BA6" s="588"/>
      <c r="BB6" s="588"/>
      <c r="BC6" s="588"/>
      <c r="BD6" s="588"/>
      <c r="BE6" s="588"/>
      <c r="BF6" s="588"/>
      <c r="BG6" s="588"/>
      <c r="BH6" s="588"/>
      <c r="BI6" s="588"/>
      <c r="BJ6" s="588"/>
      <c r="BK6" s="588"/>
      <c r="BL6" s="588"/>
      <c r="BM6" s="588"/>
      <c r="BN6" s="588"/>
      <c r="BO6" s="588"/>
      <c r="BP6" s="588"/>
      <c r="BQ6" s="588"/>
      <c r="BR6" s="588"/>
      <c r="BS6" s="588"/>
      <c r="BT6" s="588"/>
      <c r="BU6" s="588"/>
      <c r="BV6" s="588"/>
      <c r="BW6" s="588"/>
      <c r="BX6" s="588"/>
      <c r="BY6" s="588"/>
      <c r="BZ6" s="588"/>
      <c r="CA6" s="588"/>
      <c r="CB6" s="588"/>
      <c r="CC6" s="588"/>
      <c r="CD6" s="588"/>
      <c r="CE6" s="588"/>
      <c r="CF6" s="588"/>
      <c r="CG6" s="588"/>
      <c r="CH6" s="588"/>
      <c r="CI6" s="588"/>
      <c r="CJ6" s="588"/>
      <c r="CK6" s="588"/>
      <c r="CL6" s="588"/>
      <c r="CM6" s="588"/>
      <c r="CN6" s="588"/>
      <c r="CO6" s="588"/>
      <c r="CP6" s="588"/>
      <c r="CQ6" s="588"/>
      <c r="CR6" s="588"/>
      <c r="CS6" s="588"/>
      <c r="CT6" s="588"/>
      <c r="CU6" s="588"/>
      <c r="CV6" s="588"/>
      <c r="CW6" s="588"/>
      <c r="CX6" s="588"/>
      <c r="CY6" s="588"/>
      <c r="CZ6" s="588"/>
      <c r="DA6" s="588"/>
      <c r="DB6" s="588"/>
      <c r="DC6" s="588"/>
      <c r="DD6" s="588"/>
      <c r="DE6" s="588"/>
      <c r="DF6" s="588"/>
      <c r="DG6" s="588"/>
      <c r="DH6" s="588"/>
      <c r="DI6" s="588"/>
      <c r="DJ6" s="588"/>
      <c r="DK6" s="588"/>
      <c r="DL6" s="588"/>
      <c r="DM6" s="588"/>
      <c r="DN6" s="588"/>
      <c r="DO6" s="588"/>
      <c r="DP6" s="588"/>
      <c r="DQ6" s="588"/>
      <c r="DR6" s="588"/>
      <c r="DS6" s="588"/>
      <c r="DT6" s="588"/>
      <c r="DU6" s="588"/>
      <c r="DV6" s="588"/>
      <c r="DW6" s="588"/>
      <c r="DX6" s="588"/>
      <c r="DY6" s="588"/>
      <c r="DZ6" s="588"/>
      <c r="EA6" s="588"/>
      <c r="EB6" s="588"/>
      <c r="EC6" s="588"/>
      <c r="ED6" s="588"/>
      <c r="EE6" s="588"/>
      <c r="EF6" s="588"/>
      <c r="EG6" s="588"/>
      <c r="EH6" s="588"/>
      <c r="EI6" s="588"/>
      <c r="EJ6" s="588"/>
      <c r="EK6" s="588"/>
      <c r="EL6" s="588"/>
      <c r="EM6" s="588"/>
      <c r="EN6" s="588"/>
      <c r="EO6" s="588"/>
      <c r="EP6" s="588"/>
      <c r="EQ6" s="588"/>
      <c r="ER6" s="588"/>
      <c r="ES6" s="588"/>
      <c r="ET6" s="588"/>
      <c r="EU6" s="588"/>
      <c r="EV6" s="588"/>
      <c r="EW6" s="588"/>
      <c r="EX6" s="588"/>
      <c r="EY6" s="588"/>
      <c r="EZ6" s="588"/>
      <c r="FA6" s="588"/>
      <c r="FB6" s="588"/>
      <c r="FC6" s="588"/>
      <c r="FD6" s="588"/>
      <c r="FE6" s="588"/>
      <c r="FF6" s="588"/>
      <c r="FG6" s="588"/>
      <c r="FH6" s="588"/>
      <c r="FI6" s="588"/>
      <c r="FJ6" s="588"/>
      <c r="FK6" s="588"/>
      <c r="FL6" s="588"/>
      <c r="FM6" s="588"/>
      <c r="FN6" s="588"/>
      <c r="FO6" s="588"/>
      <c r="FP6" s="588"/>
      <c r="FQ6" s="588"/>
      <c r="FR6" s="588"/>
      <c r="FS6" s="588"/>
      <c r="FT6" s="588"/>
      <c r="FU6" s="588"/>
      <c r="FV6" s="588"/>
      <c r="FW6" s="588"/>
      <c r="FX6" s="588"/>
      <c r="FY6" s="588"/>
      <c r="FZ6" s="588"/>
      <c r="GA6" s="588"/>
      <c r="GB6" s="588"/>
      <c r="GC6" s="588"/>
      <c r="GD6" s="588"/>
      <c r="GE6" s="588"/>
      <c r="GF6" s="588"/>
      <c r="GG6" s="588"/>
      <c r="GH6" s="588"/>
      <c r="GI6" s="588"/>
      <c r="GJ6" s="588"/>
      <c r="GK6" s="588"/>
      <c r="GL6" s="588"/>
      <c r="GM6" s="588"/>
      <c r="GN6" s="588"/>
      <c r="GO6" s="588"/>
      <c r="GP6" s="588"/>
      <c r="GQ6" s="588"/>
      <c r="GR6" s="588"/>
      <c r="GS6" s="588"/>
      <c r="GT6" s="588"/>
      <c r="GU6" s="588"/>
      <c r="GV6" s="588"/>
      <c r="GW6" s="588"/>
      <c r="GX6" s="588"/>
      <c r="GY6" s="588"/>
      <c r="GZ6" s="588"/>
      <c r="HA6" s="588"/>
      <c r="HB6" s="588"/>
      <c r="HC6" s="588"/>
      <c r="HD6" s="588"/>
      <c r="HE6" s="588"/>
      <c r="HF6" s="588"/>
      <c r="HG6" s="588"/>
      <c r="HH6" s="588"/>
      <c r="HI6" s="588"/>
      <c r="HJ6" s="588"/>
      <c r="HK6" s="588"/>
      <c r="HL6" s="588"/>
      <c r="HM6" s="588"/>
      <c r="HN6" s="588"/>
      <c r="HO6" s="588"/>
      <c r="HP6" s="588"/>
      <c r="HQ6" s="588"/>
      <c r="HR6" s="588"/>
      <c r="HS6" s="588"/>
      <c r="HT6" s="588"/>
      <c r="HU6" s="588"/>
      <c r="HV6" s="588"/>
      <c r="HW6" s="588"/>
      <c r="HX6" s="588"/>
      <c r="HY6" s="588"/>
      <c r="HZ6" s="588"/>
      <c r="IA6" s="588"/>
      <c r="IB6" s="588"/>
      <c r="IC6" s="588"/>
      <c r="ID6" s="588"/>
      <c r="IE6" s="588"/>
      <c r="IF6" s="588"/>
      <c r="IG6" s="588"/>
      <c r="IH6" s="588"/>
      <c r="II6" s="588"/>
      <c r="IJ6" s="588"/>
      <c r="IK6" s="588"/>
      <c r="IL6" s="588"/>
      <c r="IM6" s="588"/>
      <c r="IN6" s="588"/>
      <c r="IO6" s="588"/>
      <c r="IP6" s="588"/>
      <c r="IQ6" s="588"/>
    </row>
    <row r="7" spans="1:251" ht="30" customHeight="1" x14ac:dyDescent="0.3">
      <c r="B7" s="1993" t="s">
        <v>18</v>
      </c>
      <c r="C7" s="1996" t="s">
        <v>19</v>
      </c>
      <c r="D7" s="1999" t="s">
        <v>6</v>
      </c>
      <c r="E7" s="1975" t="s">
        <v>21</v>
      </c>
      <c r="F7" s="1975" t="s">
        <v>643</v>
      </c>
      <c r="G7" s="2008" t="s">
        <v>713</v>
      </c>
      <c r="H7" s="2005" t="s">
        <v>238</v>
      </c>
      <c r="I7" s="1987" t="s">
        <v>514</v>
      </c>
      <c r="J7" s="1988"/>
      <c r="K7" s="1988"/>
      <c r="L7" s="1989"/>
      <c r="M7" s="1990" t="s">
        <v>515</v>
      </c>
    </row>
    <row r="8" spans="1:251" ht="45.75" customHeight="1" x14ac:dyDescent="0.3">
      <c r="B8" s="1994"/>
      <c r="C8" s="1997"/>
      <c r="D8" s="2000"/>
      <c r="E8" s="1976"/>
      <c r="F8" s="1976"/>
      <c r="G8" s="2009"/>
      <c r="H8" s="2006"/>
      <c r="I8" s="592" t="s">
        <v>35</v>
      </c>
      <c r="J8" s="2002" t="s">
        <v>125</v>
      </c>
      <c r="K8" s="2002"/>
      <c r="L8" s="2003" t="s">
        <v>101</v>
      </c>
      <c r="M8" s="1991"/>
    </row>
    <row r="9" spans="1:251" ht="53.25" customHeight="1" thickBot="1" x14ac:dyDescent="0.35">
      <c r="B9" s="1995"/>
      <c r="C9" s="1998"/>
      <c r="D9" s="2001"/>
      <c r="E9" s="1977"/>
      <c r="F9" s="1977"/>
      <c r="G9" s="2010"/>
      <c r="H9" s="2007"/>
      <c r="I9" s="595" t="s">
        <v>38</v>
      </c>
      <c r="J9" s="596" t="s">
        <v>186</v>
      </c>
      <c r="K9" s="596" t="s">
        <v>126</v>
      </c>
      <c r="L9" s="2004"/>
      <c r="M9" s="1992"/>
    </row>
    <row r="10" spans="1:251" ht="23.25" customHeight="1" x14ac:dyDescent="0.3">
      <c r="A10" s="597">
        <v>1</v>
      </c>
      <c r="B10" s="598">
        <v>18</v>
      </c>
      <c r="C10" s="209" t="s">
        <v>29</v>
      </c>
      <c r="D10" s="599"/>
      <c r="E10" s="600"/>
      <c r="F10" s="601"/>
      <c r="G10" s="602"/>
      <c r="H10" s="603"/>
      <c r="I10" s="604"/>
      <c r="J10" s="605"/>
      <c r="K10" s="605"/>
      <c r="L10" s="606"/>
      <c r="M10" s="607"/>
    </row>
    <row r="11" spans="1:251" ht="32.25" customHeight="1" x14ac:dyDescent="0.3">
      <c r="A11" s="597">
        <v>2</v>
      </c>
      <c r="B11" s="608"/>
      <c r="C11" s="585">
        <v>1</v>
      </c>
      <c r="D11" s="1601" t="s">
        <v>347</v>
      </c>
      <c r="E11" s="609">
        <f>F11+G11+L15+M12</f>
        <v>54906</v>
      </c>
      <c r="F11" s="610">
        <f>5652+4318+8001+4020+1207</f>
        <v>23198</v>
      </c>
      <c r="G11" s="1602">
        <v>11176</v>
      </c>
      <c r="H11" s="1603" t="s">
        <v>23</v>
      </c>
      <c r="I11" s="611"/>
      <c r="J11" s="612"/>
      <c r="K11" s="612"/>
      <c r="L11" s="613"/>
      <c r="M11" s="614"/>
    </row>
    <row r="12" spans="1:251" ht="18" customHeight="1" x14ac:dyDescent="0.3">
      <c r="A12" s="597">
        <v>3</v>
      </c>
      <c r="B12" s="608"/>
      <c r="C12" s="585"/>
      <c r="D12" s="1148" t="s">
        <v>245</v>
      </c>
      <c r="E12" s="609"/>
      <c r="F12" s="610"/>
      <c r="G12" s="1602"/>
      <c r="H12" s="1603"/>
      <c r="I12" s="611"/>
      <c r="J12" s="612">
        <f>10000+10532</f>
        <v>20532</v>
      </c>
      <c r="K12" s="612"/>
      <c r="L12" s="613">
        <f t="shared" ref="L12:L63" si="0">SUM(I12:K12)</f>
        <v>20532</v>
      </c>
      <c r="M12" s="614"/>
    </row>
    <row r="13" spans="1:251" ht="18" customHeight="1" x14ac:dyDescent="0.3">
      <c r="A13" s="597">
        <v>4</v>
      </c>
      <c r="B13" s="608"/>
      <c r="C13" s="585"/>
      <c r="D13" s="1604" t="s">
        <v>810</v>
      </c>
      <c r="E13" s="609"/>
      <c r="F13" s="610"/>
      <c r="G13" s="1602"/>
      <c r="H13" s="1603"/>
      <c r="I13" s="611"/>
      <c r="J13" s="612">
        <v>20532</v>
      </c>
      <c r="K13" s="612"/>
      <c r="L13" s="613">
        <f t="shared" si="0"/>
        <v>20532</v>
      </c>
      <c r="M13" s="614"/>
    </row>
    <row r="14" spans="1:251" ht="18" customHeight="1" x14ac:dyDescent="0.3">
      <c r="A14" s="597">
        <v>5</v>
      </c>
      <c r="B14" s="608"/>
      <c r="C14" s="585"/>
      <c r="D14" s="910" t="s">
        <v>652</v>
      </c>
      <c r="E14" s="609"/>
      <c r="F14" s="610"/>
      <c r="G14" s="1602"/>
      <c r="H14" s="1603"/>
      <c r="I14" s="1212"/>
      <c r="J14" s="1213"/>
      <c r="K14" s="1213"/>
      <c r="L14" s="1214">
        <f t="shared" si="0"/>
        <v>0</v>
      </c>
      <c r="M14" s="614"/>
    </row>
    <row r="15" spans="1:251" ht="18" customHeight="1" x14ac:dyDescent="0.3">
      <c r="A15" s="597">
        <v>6</v>
      </c>
      <c r="B15" s="608"/>
      <c r="C15" s="585"/>
      <c r="D15" s="1146" t="s">
        <v>858</v>
      </c>
      <c r="E15" s="609"/>
      <c r="F15" s="610"/>
      <c r="G15" s="1602"/>
      <c r="H15" s="1603"/>
      <c r="I15" s="611"/>
      <c r="J15" s="612">
        <f>SUM(J13:J14)</f>
        <v>20532</v>
      </c>
      <c r="K15" s="612"/>
      <c r="L15" s="613">
        <f t="shared" si="0"/>
        <v>20532</v>
      </c>
      <c r="M15" s="614"/>
    </row>
    <row r="16" spans="1:251" ht="32.25" customHeight="1" x14ac:dyDescent="0.3">
      <c r="A16" s="597">
        <v>7</v>
      </c>
      <c r="B16" s="608"/>
      <c r="C16" s="585">
        <v>2</v>
      </c>
      <c r="D16" s="1601" t="s">
        <v>496</v>
      </c>
      <c r="E16" s="609">
        <f>F16+G16+L20+M17</f>
        <v>1000</v>
      </c>
      <c r="F16" s="610"/>
      <c r="G16" s="1602"/>
      <c r="H16" s="1603" t="s">
        <v>23</v>
      </c>
      <c r="I16" s="611"/>
      <c r="J16" s="612"/>
      <c r="K16" s="612"/>
      <c r="L16" s="613"/>
      <c r="M16" s="614"/>
    </row>
    <row r="17" spans="1:13" ht="18" customHeight="1" x14ac:dyDescent="0.3">
      <c r="A17" s="597">
        <v>8</v>
      </c>
      <c r="B17" s="608"/>
      <c r="C17" s="585"/>
      <c r="D17" s="1148" t="s">
        <v>245</v>
      </c>
      <c r="E17" s="609"/>
      <c r="F17" s="610"/>
      <c r="G17" s="1602"/>
      <c r="H17" s="1603"/>
      <c r="I17" s="611"/>
      <c r="J17" s="612">
        <v>1000</v>
      </c>
      <c r="K17" s="612"/>
      <c r="L17" s="613">
        <f t="shared" si="0"/>
        <v>1000</v>
      </c>
      <c r="M17" s="614"/>
    </row>
    <row r="18" spans="1:13" ht="18" customHeight="1" x14ac:dyDescent="0.3">
      <c r="A18" s="597">
        <v>9</v>
      </c>
      <c r="B18" s="608"/>
      <c r="C18" s="585"/>
      <c r="D18" s="1604" t="s">
        <v>810</v>
      </c>
      <c r="E18" s="609"/>
      <c r="F18" s="610"/>
      <c r="G18" s="1602"/>
      <c r="H18" s="1603"/>
      <c r="I18" s="611"/>
      <c r="J18" s="612">
        <v>1000</v>
      </c>
      <c r="K18" s="612"/>
      <c r="L18" s="613">
        <f t="shared" si="0"/>
        <v>1000</v>
      </c>
      <c r="M18" s="614"/>
    </row>
    <row r="19" spans="1:13" ht="18" customHeight="1" x14ac:dyDescent="0.3">
      <c r="A19" s="597">
        <v>10</v>
      </c>
      <c r="B19" s="608"/>
      <c r="C19" s="585"/>
      <c r="D19" s="910" t="s">
        <v>652</v>
      </c>
      <c r="E19" s="609"/>
      <c r="F19" s="610"/>
      <c r="G19" s="1602"/>
      <c r="H19" s="1603"/>
      <c r="I19" s="1212"/>
      <c r="J19" s="1213"/>
      <c r="K19" s="1213"/>
      <c r="L19" s="1214">
        <f t="shared" si="0"/>
        <v>0</v>
      </c>
      <c r="M19" s="614"/>
    </row>
    <row r="20" spans="1:13" ht="18" customHeight="1" x14ac:dyDescent="0.3">
      <c r="A20" s="597">
        <v>11</v>
      </c>
      <c r="B20" s="608"/>
      <c r="C20" s="585"/>
      <c r="D20" s="1146" t="s">
        <v>858</v>
      </c>
      <c r="E20" s="609"/>
      <c r="F20" s="610"/>
      <c r="G20" s="1602"/>
      <c r="H20" s="1603"/>
      <c r="I20" s="611"/>
      <c r="J20" s="612">
        <f>SUM(J18:J19)</f>
        <v>1000</v>
      </c>
      <c r="K20" s="612"/>
      <c r="L20" s="613">
        <f t="shared" si="0"/>
        <v>1000</v>
      </c>
      <c r="M20" s="614"/>
    </row>
    <row r="21" spans="1:13" ht="22.35" customHeight="1" x14ac:dyDescent="0.3">
      <c r="A21" s="597">
        <v>12</v>
      </c>
      <c r="B21" s="608"/>
      <c r="C21" s="615">
        <v>100</v>
      </c>
      <c r="D21" s="1605" t="s">
        <v>457</v>
      </c>
      <c r="E21" s="609">
        <f>F21+G21+L25+M22</f>
        <v>5000</v>
      </c>
      <c r="F21" s="610"/>
      <c r="G21" s="1602"/>
      <c r="H21" s="1603" t="s">
        <v>23</v>
      </c>
      <c r="I21" s="611"/>
      <c r="J21" s="612"/>
      <c r="K21" s="612"/>
      <c r="L21" s="613"/>
      <c r="M21" s="614"/>
    </row>
    <row r="22" spans="1:13" ht="18" customHeight="1" x14ac:dyDescent="0.3">
      <c r="A22" s="597">
        <v>13</v>
      </c>
      <c r="B22" s="608"/>
      <c r="C22" s="615"/>
      <c r="D22" s="1148" t="s">
        <v>245</v>
      </c>
      <c r="E22" s="609"/>
      <c r="F22" s="610"/>
      <c r="G22" s="1602"/>
      <c r="H22" s="1603"/>
      <c r="I22" s="611"/>
      <c r="J22" s="612">
        <v>5000</v>
      </c>
      <c r="K22" s="612"/>
      <c r="L22" s="613">
        <f t="shared" si="0"/>
        <v>5000</v>
      </c>
      <c r="M22" s="614"/>
    </row>
    <row r="23" spans="1:13" ht="18" customHeight="1" x14ac:dyDescent="0.3">
      <c r="A23" s="597">
        <v>14</v>
      </c>
      <c r="B23" s="608"/>
      <c r="C23" s="615"/>
      <c r="D23" s="1604" t="s">
        <v>810</v>
      </c>
      <c r="E23" s="609"/>
      <c r="F23" s="610"/>
      <c r="G23" s="1602"/>
      <c r="H23" s="1603"/>
      <c r="I23" s="611"/>
      <c r="J23" s="612">
        <v>5000</v>
      </c>
      <c r="K23" s="612"/>
      <c r="L23" s="613">
        <f t="shared" si="0"/>
        <v>5000</v>
      </c>
      <c r="M23" s="614"/>
    </row>
    <row r="24" spans="1:13" ht="18" customHeight="1" x14ac:dyDescent="0.3">
      <c r="A24" s="597">
        <v>15</v>
      </c>
      <c r="B24" s="608"/>
      <c r="C24" s="615"/>
      <c r="D24" s="910" t="s">
        <v>652</v>
      </c>
      <c r="E24" s="609"/>
      <c r="F24" s="610"/>
      <c r="G24" s="1602"/>
      <c r="H24" s="1603"/>
      <c r="I24" s="1212"/>
      <c r="J24" s="1213"/>
      <c r="K24" s="1213"/>
      <c r="L24" s="1214">
        <f t="shared" si="0"/>
        <v>0</v>
      </c>
      <c r="M24" s="614"/>
    </row>
    <row r="25" spans="1:13" ht="18" customHeight="1" x14ac:dyDescent="0.3">
      <c r="A25" s="597">
        <v>16</v>
      </c>
      <c r="B25" s="608"/>
      <c r="C25" s="615"/>
      <c r="D25" s="1146" t="s">
        <v>858</v>
      </c>
      <c r="E25" s="609"/>
      <c r="F25" s="610"/>
      <c r="G25" s="1602"/>
      <c r="H25" s="1603"/>
      <c r="I25" s="611"/>
      <c r="J25" s="612">
        <f>SUM(J23:J24)</f>
        <v>5000</v>
      </c>
      <c r="K25" s="612"/>
      <c r="L25" s="613">
        <f t="shared" si="0"/>
        <v>5000</v>
      </c>
      <c r="M25" s="614"/>
    </row>
    <row r="26" spans="1:13" ht="22.5" customHeight="1" x14ac:dyDescent="0.3">
      <c r="A26" s="597">
        <v>17</v>
      </c>
      <c r="B26" s="608"/>
      <c r="C26" s="615">
        <v>173</v>
      </c>
      <c r="D26" s="1605" t="s">
        <v>529</v>
      </c>
      <c r="E26" s="609">
        <f>F26+G26+L30+M27</f>
        <v>107442</v>
      </c>
      <c r="F26" s="610"/>
      <c r="G26" s="1602"/>
      <c r="H26" s="1603" t="s">
        <v>23</v>
      </c>
      <c r="I26" s="611"/>
      <c r="J26" s="612"/>
      <c r="K26" s="612"/>
      <c r="L26" s="613"/>
      <c r="M26" s="614"/>
    </row>
    <row r="27" spans="1:13" ht="18" customHeight="1" x14ac:dyDescent="0.3">
      <c r="A27" s="597">
        <v>18</v>
      </c>
      <c r="B27" s="608"/>
      <c r="C27" s="615"/>
      <c r="D27" s="1148" t="s">
        <v>245</v>
      </c>
      <c r="E27" s="609"/>
      <c r="F27" s="610"/>
      <c r="G27" s="1602"/>
      <c r="H27" s="1603"/>
      <c r="I27" s="611"/>
      <c r="J27" s="612">
        <v>19812</v>
      </c>
      <c r="K27" s="612"/>
      <c r="L27" s="613">
        <f t="shared" si="0"/>
        <v>19812</v>
      </c>
      <c r="M27" s="614">
        <v>87630</v>
      </c>
    </row>
    <row r="28" spans="1:13" ht="18" customHeight="1" x14ac:dyDescent="0.3">
      <c r="A28" s="597">
        <v>19</v>
      </c>
      <c r="B28" s="608"/>
      <c r="C28" s="615"/>
      <c r="D28" s="1604" t="s">
        <v>810</v>
      </c>
      <c r="E28" s="609"/>
      <c r="F28" s="610"/>
      <c r="G28" s="1602"/>
      <c r="H28" s="1603"/>
      <c r="I28" s="611"/>
      <c r="J28" s="612">
        <v>19812</v>
      </c>
      <c r="K28" s="612"/>
      <c r="L28" s="613">
        <f t="shared" si="0"/>
        <v>19812</v>
      </c>
      <c r="M28" s="614"/>
    </row>
    <row r="29" spans="1:13" ht="18" customHeight="1" x14ac:dyDescent="0.3">
      <c r="A29" s="597">
        <v>20</v>
      </c>
      <c r="B29" s="608"/>
      <c r="C29" s="615"/>
      <c r="D29" s="910" t="s">
        <v>652</v>
      </c>
      <c r="E29" s="609"/>
      <c r="F29" s="610"/>
      <c r="G29" s="1602"/>
      <c r="H29" s="1603"/>
      <c r="I29" s="1212"/>
      <c r="J29" s="1213"/>
      <c r="K29" s="1213"/>
      <c r="L29" s="1214">
        <f t="shared" si="0"/>
        <v>0</v>
      </c>
      <c r="M29" s="614"/>
    </row>
    <row r="30" spans="1:13" ht="18" customHeight="1" x14ac:dyDescent="0.3">
      <c r="A30" s="597">
        <v>21</v>
      </c>
      <c r="B30" s="608"/>
      <c r="C30" s="615"/>
      <c r="D30" s="1146" t="s">
        <v>858</v>
      </c>
      <c r="E30" s="609"/>
      <c r="F30" s="610"/>
      <c r="G30" s="1602"/>
      <c r="H30" s="1603"/>
      <c r="I30" s="611"/>
      <c r="J30" s="612">
        <f>SUM(J28:J29)</f>
        <v>19812</v>
      </c>
      <c r="K30" s="612"/>
      <c r="L30" s="613">
        <f>SUM(I30:K30)</f>
        <v>19812</v>
      </c>
      <c r="M30" s="614"/>
    </row>
    <row r="31" spans="1:13" ht="22.15" customHeight="1" x14ac:dyDescent="0.3">
      <c r="A31" s="597">
        <v>22</v>
      </c>
      <c r="B31" s="608"/>
      <c r="C31" s="615">
        <v>3</v>
      </c>
      <c r="D31" s="1606" t="s">
        <v>323</v>
      </c>
      <c r="E31" s="609">
        <f t="shared" ref="E31:E37" si="1">F31+G31+L31+M31</f>
        <v>3820</v>
      </c>
      <c r="F31" s="610">
        <f>3210+110+100+100+100+100+100</f>
        <v>3820</v>
      </c>
      <c r="G31" s="1602"/>
      <c r="H31" s="1603" t="s">
        <v>24</v>
      </c>
      <c r="I31" s="611"/>
      <c r="J31" s="612"/>
      <c r="K31" s="612"/>
      <c r="L31" s="613"/>
      <c r="M31" s="614"/>
    </row>
    <row r="32" spans="1:13" ht="22.15" customHeight="1" x14ac:dyDescent="0.3">
      <c r="A32" s="597">
        <v>23</v>
      </c>
      <c r="B32" s="608"/>
      <c r="C32" s="615">
        <v>4</v>
      </c>
      <c r="D32" s="1606" t="s">
        <v>324</v>
      </c>
      <c r="E32" s="609">
        <f t="shared" si="1"/>
        <v>203670</v>
      </c>
      <c r="F32" s="610">
        <f>84090+35890+22900+22900+22900+14990</f>
        <v>203670</v>
      </c>
      <c r="G32" s="1602"/>
      <c r="H32" s="1603" t="s">
        <v>24</v>
      </c>
      <c r="I32" s="611"/>
      <c r="J32" s="612"/>
      <c r="K32" s="612"/>
      <c r="L32" s="613"/>
      <c r="M32" s="614"/>
    </row>
    <row r="33" spans="1:13" ht="22.15" customHeight="1" x14ac:dyDescent="0.3">
      <c r="A33" s="597">
        <v>24</v>
      </c>
      <c r="B33" s="608"/>
      <c r="C33" s="615">
        <v>5</v>
      </c>
      <c r="D33" s="1606" t="s">
        <v>325</v>
      </c>
      <c r="E33" s="609">
        <f t="shared" si="1"/>
        <v>5600</v>
      </c>
      <c r="F33" s="610">
        <f>100+1500+2000+1000+1000</f>
        <v>5600</v>
      </c>
      <c r="G33" s="1602"/>
      <c r="H33" s="1603" t="s">
        <v>24</v>
      </c>
      <c r="I33" s="611"/>
      <c r="J33" s="612"/>
      <c r="K33" s="612"/>
      <c r="L33" s="613"/>
      <c r="M33" s="614"/>
    </row>
    <row r="34" spans="1:13" ht="18" customHeight="1" x14ac:dyDescent="0.3">
      <c r="A34" s="597">
        <v>25</v>
      </c>
      <c r="B34" s="608"/>
      <c r="C34" s="615"/>
      <c r="D34" s="1604" t="s">
        <v>810</v>
      </c>
      <c r="E34" s="609"/>
      <c r="F34" s="610"/>
      <c r="G34" s="1602"/>
      <c r="H34" s="1603"/>
      <c r="I34" s="611"/>
      <c r="J34" s="612">
        <v>2000</v>
      </c>
      <c r="K34" s="612"/>
      <c r="L34" s="613">
        <f>SUM(I34:K34)</f>
        <v>2000</v>
      </c>
      <c r="M34" s="614"/>
    </row>
    <row r="35" spans="1:13" ht="18" customHeight="1" x14ac:dyDescent="0.3">
      <c r="A35" s="597">
        <v>26</v>
      </c>
      <c r="B35" s="608"/>
      <c r="C35" s="615"/>
      <c r="D35" s="910" t="s">
        <v>652</v>
      </c>
      <c r="E35" s="609"/>
      <c r="F35" s="610"/>
      <c r="G35" s="1602"/>
      <c r="H35" s="1603"/>
      <c r="I35" s="611"/>
      <c r="J35" s="1213"/>
      <c r="K35" s="612"/>
      <c r="L35" s="613">
        <f>SUM(I35:K35)</f>
        <v>0</v>
      </c>
      <c r="M35" s="614"/>
    </row>
    <row r="36" spans="1:13" ht="18" customHeight="1" x14ac:dyDescent="0.3">
      <c r="A36" s="597">
        <v>27</v>
      </c>
      <c r="B36" s="608"/>
      <c r="C36" s="615"/>
      <c r="D36" s="1146" t="s">
        <v>858</v>
      </c>
      <c r="E36" s="609"/>
      <c r="F36" s="610"/>
      <c r="G36" s="1602"/>
      <c r="H36" s="1603"/>
      <c r="I36" s="611"/>
      <c r="J36" s="612">
        <f>SUM(J34:J35)</f>
        <v>2000</v>
      </c>
      <c r="K36" s="612"/>
      <c r="L36" s="613">
        <f t="shared" si="0"/>
        <v>2000</v>
      </c>
      <c r="M36" s="614"/>
    </row>
    <row r="37" spans="1:13" ht="22.15" customHeight="1" x14ac:dyDescent="0.3">
      <c r="A37" s="597">
        <v>28</v>
      </c>
      <c r="B37" s="608"/>
      <c r="C37" s="615">
        <v>6</v>
      </c>
      <c r="D37" s="1606" t="s">
        <v>326</v>
      </c>
      <c r="E37" s="609">
        <f t="shared" si="1"/>
        <v>574100</v>
      </c>
      <c r="F37" s="610">
        <f>82900+195200+98000+99000+99000</f>
        <v>574100</v>
      </c>
      <c r="G37" s="1602"/>
      <c r="H37" s="1603" t="s">
        <v>24</v>
      </c>
      <c r="I37" s="611"/>
      <c r="J37" s="612"/>
      <c r="K37" s="612"/>
      <c r="L37" s="613"/>
      <c r="M37" s="614"/>
    </row>
    <row r="38" spans="1:13" ht="18" customHeight="1" x14ac:dyDescent="0.3">
      <c r="A38" s="597">
        <v>29</v>
      </c>
      <c r="B38" s="608"/>
      <c r="C38" s="615"/>
      <c r="D38" s="1604" t="s">
        <v>810</v>
      </c>
      <c r="E38" s="609"/>
      <c r="F38" s="610"/>
      <c r="G38" s="1602"/>
      <c r="H38" s="1603"/>
      <c r="I38" s="611"/>
      <c r="J38" s="612">
        <v>198000</v>
      </c>
      <c r="K38" s="612"/>
      <c r="L38" s="613">
        <f>SUM(I38:K38)</f>
        <v>198000</v>
      </c>
      <c r="M38" s="614"/>
    </row>
    <row r="39" spans="1:13" ht="18" customHeight="1" x14ac:dyDescent="0.3">
      <c r="A39" s="597">
        <v>30</v>
      </c>
      <c r="B39" s="608"/>
      <c r="C39" s="615"/>
      <c r="D39" s="910" t="s">
        <v>652</v>
      </c>
      <c r="E39" s="609"/>
      <c r="F39" s="610"/>
      <c r="G39" s="1602"/>
      <c r="H39" s="1603"/>
      <c r="I39" s="611"/>
      <c r="J39" s="1213"/>
      <c r="K39" s="612"/>
      <c r="L39" s="613">
        <f t="shared" si="0"/>
        <v>0</v>
      </c>
      <c r="M39" s="614"/>
    </row>
    <row r="40" spans="1:13" ht="18" customHeight="1" x14ac:dyDescent="0.3">
      <c r="A40" s="597">
        <v>31</v>
      </c>
      <c r="B40" s="608"/>
      <c r="C40" s="615"/>
      <c r="D40" s="1146" t="s">
        <v>858</v>
      </c>
      <c r="E40" s="609"/>
      <c r="F40" s="610"/>
      <c r="G40" s="1602"/>
      <c r="H40" s="1603"/>
      <c r="I40" s="611"/>
      <c r="J40" s="612">
        <f>SUM(J38:J39)</f>
        <v>198000</v>
      </c>
      <c r="K40" s="612"/>
      <c r="L40" s="613">
        <f t="shared" si="0"/>
        <v>198000</v>
      </c>
      <c r="M40" s="614"/>
    </row>
    <row r="41" spans="1:13" ht="22.15" customHeight="1" x14ac:dyDescent="0.3">
      <c r="A41" s="597">
        <v>32</v>
      </c>
      <c r="B41" s="608"/>
      <c r="C41" s="615">
        <v>7</v>
      </c>
      <c r="D41" s="1605" t="s">
        <v>298</v>
      </c>
      <c r="E41" s="609">
        <f>F41+G41+L42+M42</f>
        <v>141721</v>
      </c>
      <c r="F41" s="610">
        <f>8127+11064+7643+7255+1255+30618</f>
        <v>65962</v>
      </c>
      <c r="G41" s="1602">
        <v>20661</v>
      </c>
      <c r="H41" s="1603" t="s">
        <v>24</v>
      </c>
      <c r="I41" s="611"/>
      <c r="J41" s="612"/>
      <c r="K41" s="612"/>
      <c r="L41" s="613"/>
      <c r="M41" s="614"/>
    </row>
    <row r="42" spans="1:13" ht="18" customHeight="1" x14ac:dyDescent="0.3">
      <c r="A42" s="597">
        <v>33</v>
      </c>
      <c r="B42" s="608"/>
      <c r="C42" s="615"/>
      <c r="D42" s="1148" t="s">
        <v>245</v>
      </c>
      <c r="E42" s="609"/>
      <c r="F42" s="610"/>
      <c r="G42" s="1602"/>
      <c r="H42" s="1603"/>
      <c r="I42" s="611">
        <v>7071</v>
      </c>
      <c r="J42" s="612">
        <v>48027</v>
      </c>
      <c r="K42" s="612"/>
      <c r="L42" s="613">
        <f t="shared" si="0"/>
        <v>55098</v>
      </c>
      <c r="M42" s="614"/>
    </row>
    <row r="43" spans="1:13" ht="18" customHeight="1" x14ac:dyDescent="0.3">
      <c r="A43" s="597">
        <v>34</v>
      </c>
      <c r="B43" s="608"/>
      <c r="C43" s="615"/>
      <c r="D43" s="1604" t="s">
        <v>810</v>
      </c>
      <c r="E43" s="609"/>
      <c r="F43" s="610"/>
      <c r="G43" s="1602"/>
      <c r="H43" s="1603"/>
      <c r="I43" s="611">
        <v>21973</v>
      </c>
      <c r="J43" s="612">
        <v>41027</v>
      </c>
      <c r="K43" s="612"/>
      <c r="L43" s="613">
        <f t="shared" si="0"/>
        <v>63000</v>
      </c>
      <c r="M43" s="614"/>
    </row>
    <row r="44" spans="1:13" ht="18" customHeight="1" x14ac:dyDescent="0.3">
      <c r="A44" s="597">
        <v>35</v>
      </c>
      <c r="B44" s="608"/>
      <c r="C44" s="615"/>
      <c r="D44" s="910" t="s">
        <v>652</v>
      </c>
      <c r="E44" s="609"/>
      <c r="F44" s="610"/>
      <c r="G44" s="1602"/>
      <c r="H44" s="1603"/>
      <c r="I44" s="1212"/>
      <c r="J44" s="1213"/>
      <c r="K44" s="612"/>
      <c r="L44" s="613">
        <f t="shared" si="0"/>
        <v>0</v>
      </c>
      <c r="M44" s="614"/>
    </row>
    <row r="45" spans="1:13" ht="18" customHeight="1" x14ac:dyDescent="0.3">
      <c r="A45" s="597">
        <v>36</v>
      </c>
      <c r="B45" s="608"/>
      <c r="C45" s="615"/>
      <c r="D45" s="1146" t="s">
        <v>858</v>
      </c>
      <c r="E45" s="609"/>
      <c r="F45" s="610"/>
      <c r="G45" s="1602"/>
      <c r="H45" s="1603"/>
      <c r="I45" s="611">
        <f>SUM(I43:I44)</f>
        <v>21973</v>
      </c>
      <c r="J45" s="611">
        <f>SUM(J43:J44)</f>
        <v>41027</v>
      </c>
      <c r="K45" s="612"/>
      <c r="L45" s="613">
        <f t="shared" si="0"/>
        <v>63000</v>
      </c>
      <c r="M45" s="614"/>
    </row>
    <row r="46" spans="1:13" ht="32.25" customHeight="1" x14ac:dyDescent="0.3">
      <c r="A46" s="597">
        <v>37</v>
      </c>
      <c r="B46" s="608"/>
      <c r="C46" s="585">
        <v>8</v>
      </c>
      <c r="D46" s="1601" t="s">
        <v>644</v>
      </c>
      <c r="E46" s="609">
        <f>F46+G46+L51+M47</f>
        <v>121013</v>
      </c>
      <c r="F46" s="610">
        <f>9028+6276+15308</f>
        <v>30612</v>
      </c>
      <c r="G46" s="1602"/>
      <c r="H46" s="1603" t="s">
        <v>24</v>
      </c>
      <c r="I46" s="611"/>
      <c r="J46" s="612"/>
      <c r="K46" s="612"/>
      <c r="L46" s="613"/>
      <c r="M46" s="614"/>
    </row>
    <row r="47" spans="1:13" ht="18" customHeight="1" x14ac:dyDescent="0.3">
      <c r="A47" s="597">
        <v>38</v>
      </c>
      <c r="B47" s="608"/>
      <c r="C47" s="585"/>
      <c r="D47" s="1148" t="s">
        <v>245</v>
      </c>
      <c r="E47" s="609"/>
      <c r="F47" s="610"/>
      <c r="G47" s="1602"/>
      <c r="H47" s="1603"/>
      <c r="I47" s="611">
        <v>114</v>
      </c>
      <c r="J47" s="612">
        <f>10000+9172</f>
        <v>19172</v>
      </c>
      <c r="K47" s="612"/>
      <c r="L47" s="613">
        <f t="shared" si="0"/>
        <v>19286</v>
      </c>
      <c r="M47" s="614"/>
    </row>
    <row r="48" spans="1:13" ht="18" customHeight="1" x14ac:dyDescent="0.3">
      <c r="A48" s="597">
        <v>39</v>
      </c>
      <c r="B48" s="608"/>
      <c r="C48" s="585"/>
      <c r="D48" s="1604" t="s">
        <v>810</v>
      </c>
      <c r="E48" s="609"/>
      <c r="F48" s="610"/>
      <c r="G48" s="1602"/>
      <c r="H48" s="1603"/>
      <c r="I48" s="611">
        <v>114</v>
      </c>
      <c r="J48" s="612">
        <v>65872</v>
      </c>
      <c r="K48" s="612"/>
      <c r="L48" s="613">
        <f t="shared" si="0"/>
        <v>65986</v>
      </c>
      <c r="M48" s="614"/>
    </row>
    <row r="49" spans="1:251" ht="18" customHeight="1" x14ac:dyDescent="0.3">
      <c r="A49" s="597">
        <v>40</v>
      </c>
      <c r="B49" s="608"/>
      <c r="C49" s="585"/>
      <c r="D49" s="910" t="s">
        <v>897</v>
      </c>
      <c r="E49" s="609"/>
      <c r="F49" s="610"/>
      <c r="G49" s="1602"/>
      <c r="H49" s="1603"/>
      <c r="I49" s="1212">
        <f>2717+90</f>
        <v>2807</v>
      </c>
      <c r="J49" s="1213">
        <f>1698+13000-90</f>
        <v>14608</v>
      </c>
      <c r="K49" s="1213"/>
      <c r="L49" s="1214">
        <f t="shared" si="0"/>
        <v>17415</v>
      </c>
      <c r="M49" s="614"/>
    </row>
    <row r="50" spans="1:251" ht="18" customHeight="1" x14ac:dyDescent="0.3">
      <c r="A50" s="597">
        <v>41</v>
      </c>
      <c r="B50" s="608"/>
      <c r="C50" s="585"/>
      <c r="D50" s="910" t="s">
        <v>1005</v>
      </c>
      <c r="E50" s="609"/>
      <c r="F50" s="610"/>
      <c r="G50" s="1602"/>
      <c r="H50" s="1603"/>
      <c r="I50" s="1212">
        <v>2079</v>
      </c>
      <c r="J50" s="1213">
        <f>4921</f>
        <v>4921</v>
      </c>
      <c r="K50" s="1213"/>
      <c r="L50" s="1214">
        <f t="shared" si="0"/>
        <v>7000</v>
      </c>
      <c r="M50" s="614"/>
    </row>
    <row r="51" spans="1:251" ht="18" customHeight="1" x14ac:dyDescent="0.3">
      <c r="A51" s="597">
        <v>42</v>
      </c>
      <c r="B51" s="608"/>
      <c r="C51" s="585"/>
      <c r="D51" s="1146" t="s">
        <v>858</v>
      </c>
      <c r="E51" s="609"/>
      <c r="F51" s="610"/>
      <c r="G51" s="1602"/>
      <c r="H51" s="1603"/>
      <c r="I51" s="611">
        <f>SUM(I48:I50)</f>
        <v>5000</v>
      </c>
      <c r="J51" s="611">
        <f>SUM(J48:J50)</f>
        <v>85401</v>
      </c>
      <c r="K51" s="612"/>
      <c r="L51" s="613">
        <f>SUM(I51:K51)</f>
        <v>90401</v>
      </c>
      <c r="M51" s="614"/>
    </row>
    <row r="52" spans="1:251" ht="49.5" x14ac:dyDescent="0.3">
      <c r="A52" s="597">
        <v>43</v>
      </c>
      <c r="B52" s="608"/>
      <c r="C52" s="585">
        <v>9</v>
      </c>
      <c r="D52" s="1605" t="s">
        <v>645</v>
      </c>
      <c r="E52" s="609">
        <f>F52+G52</f>
        <v>30726</v>
      </c>
      <c r="F52" s="610">
        <f>26363+4363</f>
        <v>30726</v>
      </c>
      <c r="G52" s="1602"/>
      <c r="H52" s="1603" t="s">
        <v>24</v>
      </c>
      <c r="I52" s="611"/>
      <c r="J52" s="612"/>
      <c r="K52" s="612"/>
      <c r="L52" s="613"/>
      <c r="M52" s="614"/>
    </row>
    <row r="53" spans="1:251" ht="22.15" customHeight="1" x14ac:dyDescent="0.3">
      <c r="A53" s="597">
        <v>44</v>
      </c>
      <c r="B53" s="608"/>
      <c r="C53" s="615">
        <v>10</v>
      </c>
      <c r="D53" s="1605" t="s">
        <v>348</v>
      </c>
      <c r="E53" s="609">
        <f>F53+G53</f>
        <v>13045</v>
      </c>
      <c r="F53" s="610">
        <f>9652+980</f>
        <v>10632</v>
      </c>
      <c r="G53" s="1602">
        <v>2413</v>
      </c>
      <c r="H53" s="1603" t="s">
        <v>24</v>
      </c>
      <c r="I53" s="611"/>
      <c r="J53" s="612"/>
      <c r="K53" s="612"/>
      <c r="L53" s="613"/>
      <c r="M53" s="614"/>
    </row>
    <row r="54" spans="1:251" ht="22.15" customHeight="1" x14ac:dyDescent="0.3">
      <c r="A54" s="597">
        <v>45</v>
      </c>
      <c r="B54" s="608"/>
      <c r="C54" s="615">
        <v>27</v>
      </c>
      <c r="D54" s="1605" t="s">
        <v>367</v>
      </c>
      <c r="E54" s="609">
        <f>F54+G54+L58+M55</f>
        <v>4496</v>
      </c>
      <c r="F54" s="610">
        <v>2473</v>
      </c>
      <c r="G54" s="1602">
        <v>264</v>
      </c>
      <c r="H54" s="1603" t="s">
        <v>24</v>
      </c>
      <c r="I54" s="611"/>
      <c r="J54" s="612"/>
      <c r="K54" s="612"/>
      <c r="L54" s="613"/>
      <c r="M54" s="614"/>
    </row>
    <row r="55" spans="1:251" ht="18" customHeight="1" x14ac:dyDescent="0.3">
      <c r="A55" s="597">
        <v>46</v>
      </c>
      <c r="B55" s="608"/>
      <c r="C55" s="615"/>
      <c r="D55" s="1148" t="s">
        <v>245</v>
      </c>
      <c r="E55" s="609"/>
      <c r="F55" s="610"/>
      <c r="G55" s="1602"/>
      <c r="H55" s="1603"/>
      <c r="I55" s="611">
        <v>736</v>
      </c>
      <c r="J55" s="612">
        <v>1023</v>
      </c>
      <c r="K55" s="612"/>
      <c r="L55" s="613">
        <f t="shared" si="0"/>
        <v>1759</v>
      </c>
      <c r="M55" s="614"/>
    </row>
    <row r="56" spans="1:251" ht="18" customHeight="1" x14ac:dyDescent="0.3">
      <c r="A56" s="597">
        <v>47</v>
      </c>
      <c r="B56" s="608"/>
      <c r="C56" s="615"/>
      <c r="D56" s="1604" t="s">
        <v>810</v>
      </c>
      <c r="E56" s="609"/>
      <c r="F56" s="610"/>
      <c r="G56" s="1602"/>
      <c r="H56" s="1603"/>
      <c r="I56" s="611">
        <v>736</v>
      </c>
      <c r="J56" s="612">
        <v>1023</v>
      </c>
      <c r="K56" s="612"/>
      <c r="L56" s="613">
        <f t="shared" si="0"/>
        <v>1759</v>
      </c>
      <c r="M56" s="614"/>
    </row>
    <row r="57" spans="1:251" ht="18" customHeight="1" x14ac:dyDescent="0.3">
      <c r="A57" s="597">
        <v>48</v>
      </c>
      <c r="B57" s="608"/>
      <c r="C57" s="615"/>
      <c r="D57" s="910" t="s">
        <v>652</v>
      </c>
      <c r="E57" s="609"/>
      <c r="F57" s="610"/>
      <c r="G57" s="1602"/>
      <c r="H57" s="1603"/>
      <c r="I57" s="1212"/>
      <c r="J57" s="1213"/>
      <c r="K57" s="1213"/>
      <c r="L57" s="1214">
        <f t="shared" si="0"/>
        <v>0</v>
      </c>
      <c r="M57" s="614"/>
    </row>
    <row r="58" spans="1:251" ht="18" customHeight="1" x14ac:dyDescent="0.3">
      <c r="A58" s="597">
        <v>49</v>
      </c>
      <c r="B58" s="608"/>
      <c r="C58" s="615"/>
      <c r="D58" s="1146" t="s">
        <v>858</v>
      </c>
      <c r="E58" s="609"/>
      <c r="F58" s="610"/>
      <c r="G58" s="1602"/>
      <c r="H58" s="1603"/>
      <c r="I58" s="611">
        <f>SUM(I56:I57)</f>
        <v>736</v>
      </c>
      <c r="J58" s="611">
        <f>SUM(J56:J57)</f>
        <v>1023</v>
      </c>
      <c r="K58" s="612"/>
      <c r="L58" s="613">
        <f t="shared" si="0"/>
        <v>1759</v>
      </c>
      <c r="M58" s="614"/>
    </row>
    <row r="59" spans="1:251" ht="84.75" customHeight="1" x14ac:dyDescent="0.3">
      <c r="A59" s="597">
        <v>50</v>
      </c>
      <c r="B59" s="608"/>
      <c r="C59" s="585">
        <v>30</v>
      </c>
      <c r="D59" s="1601" t="s">
        <v>723</v>
      </c>
      <c r="E59" s="609">
        <f>F59+G59+L63+M60</f>
        <v>6298</v>
      </c>
      <c r="F59" s="610">
        <v>65</v>
      </c>
      <c r="G59" s="1602">
        <v>862</v>
      </c>
      <c r="H59" s="1603" t="s">
        <v>24</v>
      </c>
      <c r="I59" s="1607"/>
      <c r="J59" s="609"/>
      <c r="K59" s="609"/>
      <c r="L59" s="613"/>
      <c r="M59" s="614"/>
      <c r="N59" s="1608"/>
      <c r="O59" s="1608"/>
      <c r="P59" s="1608"/>
      <c r="Q59" s="1608"/>
      <c r="R59" s="1608"/>
      <c r="S59" s="1608"/>
      <c r="T59" s="1608"/>
      <c r="U59" s="1608"/>
      <c r="V59" s="1608"/>
      <c r="W59" s="1608"/>
      <c r="X59" s="1608"/>
      <c r="Y59" s="1608"/>
      <c r="Z59" s="1608"/>
      <c r="AA59" s="1608"/>
      <c r="AB59" s="1608"/>
      <c r="AC59" s="1608"/>
      <c r="AD59" s="1608"/>
      <c r="AE59" s="1608"/>
      <c r="AF59" s="1608"/>
      <c r="AG59" s="1608"/>
      <c r="AH59" s="1608"/>
      <c r="AI59" s="1608"/>
      <c r="AJ59" s="1608"/>
      <c r="AK59" s="1608"/>
      <c r="AL59" s="1608"/>
      <c r="AM59" s="1608"/>
      <c r="AN59" s="1608"/>
      <c r="AO59" s="1608"/>
      <c r="AP59" s="1608"/>
      <c r="AQ59" s="1608"/>
      <c r="AR59" s="1608"/>
      <c r="AS59" s="1608"/>
      <c r="AT59" s="1608"/>
      <c r="AU59" s="1608"/>
      <c r="AV59" s="1608"/>
      <c r="AW59" s="1608"/>
      <c r="AX59" s="1608"/>
      <c r="AY59" s="1608"/>
      <c r="AZ59" s="1608"/>
      <c r="BA59" s="1608"/>
      <c r="BB59" s="1608"/>
      <c r="BC59" s="1608"/>
      <c r="BD59" s="1608"/>
      <c r="BE59" s="1608"/>
      <c r="BF59" s="1608"/>
      <c r="BG59" s="1608"/>
      <c r="BH59" s="1608"/>
      <c r="BI59" s="1608"/>
      <c r="BJ59" s="1608"/>
      <c r="BK59" s="1608"/>
      <c r="BL59" s="1608"/>
      <c r="BM59" s="1608"/>
      <c r="BN59" s="1608"/>
      <c r="BO59" s="1608"/>
      <c r="BP59" s="1608"/>
      <c r="BQ59" s="1608"/>
      <c r="BR59" s="1608"/>
      <c r="BS59" s="1608"/>
      <c r="BT59" s="1608"/>
      <c r="BU59" s="1608"/>
      <c r="BV59" s="1608"/>
      <c r="BW59" s="1608"/>
      <c r="BX59" s="1608"/>
      <c r="BY59" s="1608"/>
      <c r="BZ59" s="1608"/>
      <c r="CA59" s="1608"/>
      <c r="CB59" s="1608"/>
      <c r="CC59" s="1608"/>
      <c r="CD59" s="1608"/>
      <c r="CE59" s="1608"/>
      <c r="CF59" s="1608"/>
      <c r="CG59" s="1608"/>
      <c r="CH59" s="1608"/>
      <c r="CI59" s="1608"/>
      <c r="CJ59" s="1608"/>
      <c r="CK59" s="1608"/>
      <c r="CL59" s="1608"/>
      <c r="CM59" s="1608"/>
      <c r="CN59" s="1608"/>
      <c r="CO59" s="1608"/>
      <c r="CP59" s="1608"/>
      <c r="CQ59" s="1608"/>
      <c r="CR59" s="1608"/>
      <c r="CS59" s="1608"/>
      <c r="CT59" s="1608"/>
      <c r="CU59" s="1608"/>
      <c r="CV59" s="1608"/>
      <c r="CW59" s="1608"/>
      <c r="CX59" s="1608"/>
      <c r="CY59" s="1608"/>
      <c r="CZ59" s="1608"/>
      <c r="DA59" s="1608"/>
      <c r="DB59" s="1608"/>
      <c r="DC59" s="1608"/>
      <c r="DD59" s="1608"/>
      <c r="DE59" s="1608"/>
      <c r="DF59" s="1608"/>
      <c r="DG59" s="1608"/>
      <c r="DH59" s="1608"/>
      <c r="DI59" s="1608"/>
      <c r="DJ59" s="1608"/>
      <c r="DK59" s="1608"/>
      <c r="DL59" s="1608"/>
      <c r="DM59" s="1608"/>
      <c r="DN59" s="1608"/>
      <c r="DO59" s="1608"/>
      <c r="DP59" s="1608"/>
      <c r="DQ59" s="1608"/>
      <c r="DR59" s="1608"/>
      <c r="DS59" s="1608"/>
      <c r="DT59" s="1608"/>
      <c r="DU59" s="1608"/>
      <c r="DV59" s="1608"/>
      <c r="DW59" s="1608"/>
      <c r="DX59" s="1608"/>
      <c r="DY59" s="1608"/>
      <c r="DZ59" s="1608"/>
      <c r="EA59" s="1608"/>
      <c r="EB59" s="1608"/>
      <c r="EC59" s="1608"/>
      <c r="ED59" s="1608"/>
      <c r="EE59" s="1608"/>
      <c r="EF59" s="1608"/>
      <c r="EG59" s="1608"/>
      <c r="EH59" s="1608"/>
      <c r="EI59" s="1608"/>
      <c r="EJ59" s="1608"/>
      <c r="EK59" s="1608"/>
      <c r="EL59" s="1608"/>
      <c r="EM59" s="1608"/>
      <c r="EN59" s="1608"/>
      <c r="EO59" s="1608"/>
      <c r="EP59" s="1608"/>
      <c r="EQ59" s="1608"/>
      <c r="ER59" s="1608"/>
      <c r="ES59" s="1608"/>
      <c r="ET59" s="1608"/>
      <c r="EU59" s="1608"/>
      <c r="EV59" s="1608"/>
      <c r="EW59" s="1608"/>
      <c r="EX59" s="1608"/>
      <c r="EY59" s="1608"/>
      <c r="EZ59" s="1608"/>
      <c r="FA59" s="1608"/>
      <c r="FB59" s="1608"/>
      <c r="FC59" s="1608"/>
      <c r="FD59" s="1608"/>
      <c r="FE59" s="1608"/>
      <c r="FF59" s="1608"/>
      <c r="FG59" s="1608"/>
      <c r="FH59" s="1608"/>
      <c r="FI59" s="1608"/>
      <c r="FJ59" s="1608"/>
      <c r="FK59" s="1608"/>
      <c r="FL59" s="1608"/>
      <c r="FM59" s="1608"/>
      <c r="FN59" s="1608"/>
      <c r="FO59" s="1608"/>
      <c r="FP59" s="1608"/>
      <c r="FQ59" s="1608"/>
      <c r="FR59" s="1608"/>
      <c r="FS59" s="1608"/>
      <c r="FT59" s="1608"/>
      <c r="FU59" s="1608"/>
      <c r="FV59" s="1608"/>
      <c r="FW59" s="1608"/>
      <c r="FX59" s="1608"/>
      <c r="FY59" s="1608"/>
      <c r="FZ59" s="1608"/>
      <c r="GA59" s="1608"/>
      <c r="GB59" s="1608"/>
      <c r="GC59" s="1608"/>
      <c r="GD59" s="1608"/>
      <c r="GE59" s="1608"/>
      <c r="GF59" s="1608"/>
      <c r="GG59" s="1608"/>
      <c r="GH59" s="1608"/>
      <c r="GI59" s="1608"/>
      <c r="GJ59" s="1608"/>
      <c r="GK59" s="1608"/>
      <c r="GL59" s="1608"/>
      <c r="GM59" s="1608"/>
      <c r="GN59" s="1608"/>
      <c r="GO59" s="1608"/>
      <c r="GP59" s="1608"/>
      <c r="GQ59" s="1608"/>
      <c r="GR59" s="1608"/>
      <c r="GS59" s="1608"/>
      <c r="GT59" s="1608"/>
      <c r="GU59" s="1608"/>
      <c r="GV59" s="1608"/>
      <c r="GW59" s="1608"/>
      <c r="GX59" s="1608"/>
      <c r="GY59" s="1608"/>
      <c r="GZ59" s="1608"/>
      <c r="HA59" s="1608"/>
      <c r="HB59" s="1608"/>
      <c r="HC59" s="1608"/>
      <c r="HD59" s="1608"/>
      <c r="HE59" s="1608"/>
      <c r="HF59" s="1608"/>
      <c r="HG59" s="1608"/>
      <c r="HH59" s="1608"/>
      <c r="HI59" s="1608"/>
      <c r="HJ59" s="1608"/>
      <c r="HK59" s="1608"/>
      <c r="HL59" s="1608"/>
      <c r="HM59" s="1608"/>
      <c r="HN59" s="1608"/>
      <c r="HO59" s="1608"/>
      <c r="HP59" s="1608"/>
      <c r="HQ59" s="1608"/>
      <c r="HR59" s="1608"/>
      <c r="HS59" s="1608"/>
      <c r="HT59" s="1608"/>
      <c r="HU59" s="1608"/>
      <c r="HV59" s="1608"/>
      <c r="HW59" s="1608"/>
      <c r="HX59" s="1608"/>
      <c r="HY59" s="1608"/>
      <c r="HZ59" s="1608"/>
      <c r="IA59" s="1608"/>
      <c r="IB59" s="1608"/>
      <c r="IC59" s="1608"/>
      <c r="ID59" s="1608"/>
      <c r="IE59" s="1608"/>
      <c r="IF59" s="1608"/>
      <c r="IG59" s="1608"/>
      <c r="IH59" s="1608"/>
      <c r="II59" s="1608"/>
      <c r="IJ59" s="1608"/>
      <c r="IK59" s="1608"/>
      <c r="IL59" s="1608"/>
      <c r="IM59" s="1608"/>
      <c r="IN59" s="1608"/>
      <c r="IO59" s="1608"/>
      <c r="IP59" s="1608"/>
      <c r="IQ59" s="1608"/>
    </row>
    <row r="60" spans="1:251" ht="18" customHeight="1" x14ac:dyDescent="0.3">
      <c r="A60" s="597">
        <v>51</v>
      </c>
      <c r="B60" s="608"/>
      <c r="C60" s="585"/>
      <c r="D60" s="1148" t="s">
        <v>245</v>
      </c>
      <c r="E60" s="609"/>
      <c r="F60" s="610"/>
      <c r="G60" s="1602"/>
      <c r="H60" s="1603"/>
      <c r="I60" s="1607"/>
      <c r="J60" s="609">
        <v>5371</v>
      </c>
      <c r="K60" s="609"/>
      <c r="L60" s="613">
        <f t="shared" si="0"/>
        <v>5371</v>
      </c>
      <c r="M60" s="614"/>
      <c r="N60" s="1608"/>
      <c r="O60" s="1608"/>
      <c r="P60" s="1608"/>
      <c r="Q60" s="1608"/>
      <c r="R60" s="1608"/>
      <c r="S60" s="1608"/>
      <c r="T60" s="1608"/>
      <c r="U60" s="1608"/>
      <c r="V60" s="1608"/>
      <c r="W60" s="1608"/>
      <c r="X60" s="1608"/>
      <c r="Y60" s="1608"/>
      <c r="Z60" s="1608"/>
      <c r="AA60" s="1608"/>
      <c r="AB60" s="1608"/>
      <c r="AC60" s="1608"/>
      <c r="AD60" s="1608"/>
      <c r="AE60" s="1608"/>
      <c r="AF60" s="1608"/>
      <c r="AG60" s="1608"/>
      <c r="AH60" s="1608"/>
      <c r="AI60" s="1608"/>
      <c r="AJ60" s="1608"/>
      <c r="AK60" s="1608"/>
      <c r="AL60" s="1608"/>
      <c r="AM60" s="1608"/>
      <c r="AN60" s="1608"/>
      <c r="AO60" s="1608"/>
      <c r="AP60" s="1608"/>
      <c r="AQ60" s="1608"/>
      <c r="AR60" s="1608"/>
      <c r="AS60" s="1608"/>
      <c r="AT60" s="1608"/>
      <c r="AU60" s="1608"/>
      <c r="AV60" s="1608"/>
      <c r="AW60" s="1608"/>
      <c r="AX60" s="1608"/>
      <c r="AY60" s="1608"/>
      <c r="AZ60" s="1608"/>
      <c r="BA60" s="1608"/>
      <c r="BB60" s="1608"/>
      <c r="BC60" s="1608"/>
      <c r="BD60" s="1608"/>
      <c r="BE60" s="1608"/>
      <c r="BF60" s="1608"/>
      <c r="BG60" s="1608"/>
      <c r="BH60" s="1608"/>
      <c r="BI60" s="1608"/>
      <c r="BJ60" s="1608"/>
      <c r="BK60" s="1608"/>
      <c r="BL60" s="1608"/>
      <c r="BM60" s="1608"/>
      <c r="BN60" s="1608"/>
      <c r="BO60" s="1608"/>
      <c r="BP60" s="1608"/>
      <c r="BQ60" s="1608"/>
      <c r="BR60" s="1608"/>
      <c r="BS60" s="1608"/>
      <c r="BT60" s="1608"/>
      <c r="BU60" s="1608"/>
      <c r="BV60" s="1608"/>
      <c r="BW60" s="1608"/>
      <c r="BX60" s="1608"/>
      <c r="BY60" s="1608"/>
      <c r="BZ60" s="1608"/>
      <c r="CA60" s="1608"/>
      <c r="CB60" s="1608"/>
      <c r="CC60" s="1608"/>
      <c r="CD60" s="1608"/>
      <c r="CE60" s="1608"/>
      <c r="CF60" s="1608"/>
      <c r="CG60" s="1608"/>
      <c r="CH60" s="1608"/>
      <c r="CI60" s="1608"/>
      <c r="CJ60" s="1608"/>
      <c r="CK60" s="1608"/>
      <c r="CL60" s="1608"/>
      <c r="CM60" s="1608"/>
      <c r="CN60" s="1608"/>
      <c r="CO60" s="1608"/>
      <c r="CP60" s="1608"/>
      <c r="CQ60" s="1608"/>
      <c r="CR60" s="1608"/>
      <c r="CS60" s="1608"/>
      <c r="CT60" s="1608"/>
      <c r="CU60" s="1608"/>
      <c r="CV60" s="1608"/>
      <c r="CW60" s="1608"/>
      <c r="CX60" s="1608"/>
      <c r="CY60" s="1608"/>
      <c r="CZ60" s="1608"/>
      <c r="DA60" s="1608"/>
      <c r="DB60" s="1608"/>
      <c r="DC60" s="1608"/>
      <c r="DD60" s="1608"/>
      <c r="DE60" s="1608"/>
      <c r="DF60" s="1608"/>
      <c r="DG60" s="1608"/>
      <c r="DH60" s="1608"/>
      <c r="DI60" s="1608"/>
      <c r="DJ60" s="1608"/>
      <c r="DK60" s="1608"/>
      <c r="DL60" s="1608"/>
      <c r="DM60" s="1608"/>
      <c r="DN60" s="1608"/>
      <c r="DO60" s="1608"/>
      <c r="DP60" s="1608"/>
      <c r="DQ60" s="1608"/>
      <c r="DR60" s="1608"/>
      <c r="DS60" s="1608"/>
      <c r="DT60" s="1608"/>
      <c r="DU60" s="1608"/>
      <c r="DV60" s="1608"/>
      <c r="DW60" s="1608"/>
      <c r="DX60" s="1608"/>
      <c r="DY60" s="1608"/>
      <c r="DZ60" s="1608"/>
      <c r="EA60" s="1608"/>
      <c r="EB60" s="1608"/>
      <c r="EC60" s="1608"/>
      <c r="ED60" s="1608"/>
      <c r="EE60" s="1608"/>
      <c r="EF60" s="1608"/>
      <c r="EG60" s="1608"/>
      <c r="EH60" s="1608"/>
      <c r="EI60" s="1608"/>
      <c r="EJ60" s="1608"/>
      <c r="EK60" s="1608"/>
      <c r="EL60" s="1608"/>
      <c r="EM60" s="1608"/>
      <c r="EN60" s="1608"/>
      <c r="EO60" s="1608"/>
      <c r="EP60" s="1608"/>
      <c r="EQ60" s="1608"/>
      <c r="ER60" s="1608"/>
      <c r="ES60" s="1608"/>
      <c r="ET60" s="1608"/>
      <c r="EU60" s="1608"/>
      <c r="EV60" s="1608"/>
      <c r="EW60" s="1608"/>
      <c r="EX60" s="1608"/>
      <c r="EY60" s="1608"/>
      <c r="EZ60" s="1608"/>
      <c r="FA60" s="1608"/>
      <c r="FB60" s="1608"/>
      <c r="FC60" s="1608"/>
      <c r="FD60" s="1608"/>
      <c r="FE60" s="1608"/>
      <c r="FF60" s="1608"/>
      <c r="FG60" s="1608"/>
      <c r="FH60" s="1608"/>
      <c r="FI60" s="1608"/>
      <c r="FJ60" s="1608"/>
      <c r="FK60" s="1608"/>
      <c r="FL60" s="1608"/>
      <c r="FM60" s="1608"/>
      <c r="FN60" s="1608"/>
      <c r="FO60" s="1608"/>
      <c r="FP60" s="1608"/>
      <c r="FQ60" s="1608"/>
      <c r="FR60" s="1608"/>
      <c r="FS60" s="1608"/>
      <c r="FT60" s="1608"/>
      <c r="FU60" s="1608"/>
      <c r="FV60" s="1608"/>
      <c r="FW60" s="1608"/>
      <c r="FX60" s="1608"/>
      <c r="FY60" s="1608"/>
      <c r="FZ60" s="1608"/>
      <c r="GA60" s="1608"/>
      <c r="GB60" s="1608"/>
      <c r="GC60" s="1608"/>
      <c r="GD60" s="1608"/>
      <c r="GE60" s="1608"/>
      <c r="GF60" s="1608"/>
      <c r="GG60" s="1608"/>
      <c r="GH60" s="1608"/>
      <c r="GI60" s="1608"/>
      <c r="GJ60" s="1608"/>
      <c r="GK60" s="1608"/>
      <c r="GL60" s="1608"/>
      <c r="GM60" s="1608"/>
      <c r="GN60" s="1608"/>
      <c r="GO60" s="1608"/>
      <c r="GP60" s="1608"/>
      <c r="GQ60" s="1608"/>
      <c r="GR60" s="1608"/>
      <c r="GS60" s="1608"/>
      <c r="GT60" s="1608"/>
      <c r="GU60" s="1608"/>
      <c r="GV60" s="1608"/>
      <c r="GW60" s="1608"/>
      <c r="GX60" s="1608"/>
      <c r="GY60" s="1608"/>
      <c r="GZ60" s="1608"/>
      <c r="HA60" s="1608"/>
      <c r="HB60" s="1608"/>
      <c r="HC60" s="1608"/>
      <c r="HD60" s="1608"/>
      <c r="HE60" s="1608"/>
      <c r="HF60" s="1608"/>
      <c r="HG60" s="1608"/>
      <c r="HH60" s="1608"/>
      <c r="HI60" s="1608"/>
      <c r="HJ60" s="1608"/>
      <c r="HK60" s="1608"/>
      <c r="HL60" s="1608"/>
      <c r="HM60" s="1608"/>
      <c r="HN60" s="1608"/>
      <c r="HO60" s="1608"/>
      <c r="HP60" s="1608"/>
      <c r="HQ60" s="1608"/>
      <c r="HR60" s="1608"/>
      <c r="HS60" s="1608"/>
      <c r="HT60" s="1608"/>
      <c r="HU60" s="1608"/>
      <c r="HV60" s="1608"/>
      <c r="HW60" s="1608"/>
      <c r="HX60" s="1608"/>
      <c r="HY60" s="1608"/>
      <c r="HZ60" s="1608"/>
      <c r="IA60" s="1608"/>
      <c r="IB60" s="1608"/>
      <c r="IC60" s="1608"/>
      <c r="ID60" s="1608"/>
      <c r="IE60" s="1608"/>
      <c r="IF60" s="1608"/>
      <c r="IG60" s="1608"/>
      <c r="IH60" s="1608"/>
      <c r="II60" s="1608"/>
      <c r="IJ60" s="1608"/>
      <c r="IK60" s="1608"/>
      <c r="IL60" s="1608"/>
      <c r="IM60" s="1608"/>
      <c r="IN60" s="1608"/>
      <c r="IO60" s="1608"/>
      <c r="IP60" s="1608"/>
      <c r="IQ60" s="1608"/>
    </row>
    <row r="61" spans="1:251" ht="18" customHeight="1" x14ac:dyDescent="0.3">
      <c r="A61" s="597">
        <v>52</v>
      </c>
      <c r="B61" s="608"/>
      <c r="C61" s="585"/>
      <c r="D61" s="1604" t="s">
        <v>810</v>
      </c>
      <c r="E61" s="609"/>
      <c r="F61" s="610"/>
      <c r="G61" s="1602"/>
      <c r="H61" s="1603"/>
      <c r="I61" s="1607"/>
      <c r="J61" s="609">
        <v>5371</v>
      </c>
      <c r="K61" s="609"/>
      <c r="L61" s="613">
        <f t="shared" si="0"/>
        <v>5371</v>
      </c>
      <c r="M61" s="617"/>
      <c r="N61" s="1608"/>
      <c r="O61" s="1608"/>
      <c r="P61" s="1608"/>
      <c r="Q61" s="1608"/>
      <c r="R61" s="1608"/>
      <c r="S61" s="1608"/>
      <c r="T61" s="1608"/>
      <c r="U61" s="1608"/>
      <c r="V61" s="1608"/>
      <c r="W61" s="1608"/>
      <c r="X61" s="1608"/>
      <c r="Y61" s="1608"/>
      <c r="Z61" s="1608"/>
      <c r="AA61" s="1608"/>
      <c r="AB61" s="1608"/>
      <c r="AC61" s="1608"/>
      <c r="AD61" s="1608"/>
      <c r="AE61" s="1608"/>
      <c r="AF61" s="1608"/>
      <c r="AG61" s="1608"/>
      <c r="AH61" s="1608"/>
      <c r="AI61" s="1608"/>
      <c r="AJ61" s="1608"/>
      <c r="AK61" s="1608"/>
      <c r="AL61" s="1608"/>
      <c r="AM61" s="1608"/>
      <c r="AN61" s="1608"/>
      <c r="AO61" s="1608"/>
      <c r="AP61" s="1608"/>
      <c r="AQ61" s="1608"/>
      <c r="AR61" s="1608"/>
      <c r="AS61" s="1608"/>
      <c r="AT61" s="1608"/>
      <c r="AU61" s="1608"/>
      <c r="AV61" s="1608"/>
      <c r="AW61" s="1608"/>
      <c r="AX61" s="1608"/>
      <c r="AY61" s="1608"/>
      <c r="AZ61" s="1608"/>
      <c r="BA61" s="1608"/>
      <c r="BB61" s="1608"/>
      <c r="BC61" s="1608"/>
      <c r="BD61" s="1608"/>
      <c r="BE61" s="1608"/>
      <c r="BF61" s="1608"/>
      <c r="BG61" s="1608"/>
      <c r="BH61" s="1608"/>
      <c r="BI61" s="1608"/>
      <c r="BJ61" s="1608"/>
      <c r="BK61" s="1608"/>
      <c r="BL61" s="1608"/>
      <c r="BM61" s="1608"/>
      <c r="BN61" s="1608"/>
      <c r="BO61" s="1608"/>
      <c r="BP61" s="1608"/>
      <c r="BQ61" s="1608"/>
      <c r="BR61" s="1608"/>
      <c r="BS61" s="1608"/>
      <c r="BT61" s="1608"/>
      <c r="BU61" s="1608"/>
      <c r="BV61" s="1608"/>
      <c r="BW61" s="1608"/>
      <c r="BX61" s="1608"/>
      <c r="BY61" s="1608"/>
      <c r="BZ61" s="1608"/>
      <c r="CA61" s="1608"/>
      <c r="CB61" s="1608"/>
      <c r="CC61" s="1608"/>
      <c r="CD61" s="1608"/>
      <c r="CE61" s="1608"/>
      <c r="CF61" s="1608"/>
      <c r="CG61" s="1608"/>
      <c r="CH61" s="1608"/>
      <c r="CI61" s="1608"/>
      <c r="CJ61" s="1608"/>
      <c r="CK61" s="1608"/>
      <c r="CL61" s="1608"/>
      <c r="CM61" s="1608"/>
      <c r="CN61" s="1608"/>
      <c r="CO61" s="1608"/>
      <c r="CP61" s="1608"/>
      <c r="CQ61" s="1608"/>
      <c r="CR61" s="1608"/>
      <c r="CS61" s="1608"/>
      <c r="CT61" s="1608"/>
      <c r="CU61" s="1608"/>
      <c r="CV61" s="1608"/>
      <c r="CW61" s="1608"/>
      <c r="CX61" s="1608"/>
      <c r="CY61" s="1608"/>
      <c r="CZ61" s="1608"/>
      <c r="DA61" s="1608"/>
      <c r="DB61" s="1608"/>
      <c r="DC61" s="1608"/>
      <c r="DD61" s="1608"/>
      <c r="DE61" s="1608"/>
      <c r="DF61" s="1608"/>
      <c r="DG61" s="1608"/>
      <c r="DH61" s="1608"/>
      <c r="DI61" s="1608"/>
      <c r="DJ61" s="1608"/>
      <c r="DK61" s="1608"/>
      <c r="DL61" s="1608"/>
      <c r="DM61" s="1608"/>
      <c r="DN61" s="1608"/>
      <c r="DO61" s="1608"/>
      <c r="DP61" s="1608"/>
      <c r="DQ61" s="1608"/>
      <c r="DR61" s="1608"/>
      <c r="DS61" s="1608"/>
      <c r="DT61" s="1608"/>
      <c r="DU61" s="1608"/>
      <c r="DV61" s="1608"/>
      <c r="DW61" s="1608"/>
      <c r="DX61" s="1608"/>
      <c r="DY61" s="1608"/>
      <c r="DZ61" s="1608"/>
      <c r="EA61" s="1608"/>
      <c r="EB61" s="1608"/>
      <c r="EC61" s="1608"/>
      <c r="ED61" s="1608"/>
      <c r="EE61" s="1608"/>
      <c r="EF61" s="1608"/>
      <c r="EG61" s="1608"/>
      <c r="EH61" s="1608"/>
      <c r="EI61" s="1608"/>
      <c r="EJ61" s="1608"/>
      <c r="EK61" s="1608"/>
      <c r="EL61" s="1608"/>
      <c r="EM61" s="1608"/>
      <c r="EN61" s="1608"/>
      <c r="EO61" s="1608"/>
      <c r="EP61" s="1608"/>
      <c r="EQ61" s="1608"/>
      <c r="ER61" s="1608"/>
      <c r="ES61" s="1608"/>
      <c r="ET61" s="1608"/>
      <c r="EU61" s="1608"/>
      <c r="EV61" s="1608"/>
      <c r="EW61" s="1608"/>
      <c r="EX61" s="1608"/>
      <c r="EY61" s="1608"/>
      <c r="EZ61" s="1608"/>
      <c r="FA61" s="1608"/>
      <c r="FB61" s="1608"/>
      <c r="FC61" s="1608"/>
      <c r="FD61" s="1608"/>
      <c r="FE61" s="1608"/>
      <c r="FF61" s="1608"/>
      <c r="FG61" s="1608"/>
      <c r="FH61" s="1608"/>
      <c r="FI61" s="1608"/>
      <c r="FJ61" s="1608"/>
      <c r="FK61" s="1608"/>
      <c r="FL61" s="1608"/>
      <c r="FM61" s="1608"/>
      <c r="FN61" s="1608"/>
      <c r="FO61" s="1608"/>
      <c r="FP61" s="1608"/>
      <c r="FQ61" s="1608"/>
      <c r="FR61" s="1608"/>
      <c r="FS61" s="1608"/>
      <c r="FT61" s="1608"/>
      <c r="FU61" s="1608"/>
      <c r="FV61" s="1608"/>
      <c r="FW61" s="1608"/>
      <c r="FX61" s="1608"/>
      <c r="FY61" s="1608"/>
      <c r="FZ61" s="1608"/>
      <c r="GA61" s="1608"/>
      <c r="GB61" s="1608"/>
      <c r="GC61" s="1608"/>
      <c r="GD61" s="1608"/>
      <c r="GE61" s="1608"/>
      <c r="GF61" s="1608"/>
      <c r="GG61" s="1608"/>
      <c r="GH61" s="1608"/>
      <c r="GI61" s="1608"/>
      <c r="GJ61" s="1608"/>
      <c r="GK61" s="1608"/>
      <c r="GL61" s="1608"/>
      <c r="GM61" s="1608"/>
      <c r="GN61" s="1608"/>
      <c r="GO61" s="1608"/>
      <c r="GP61" s="1608"/>
      <c r="GQ61" s="1608"/>
      <c r="GR61" s="1608"/>
      <c r="GS61" s="1608"/>
      <c r="GT61" s="1608"/>
      <c r="GU61" s="1608"/>
      <c r="GV61" s="1608"/>
      <c r="GW61" s="1608"/>
      <c r="GX61" s="1608"/>
      <c r="GY61" s="1608"/>
      <c r="GZ61" s="1608"/>
      <c r="HA61" s="1608"/>
      <c r="HB61" s="1608"/>
      <c r="HC61" s="1608"/>
      <c r="HD61" s="1608"/>
      <c r="HE61" s="1608"/>
      <c r="HF61" s="1608"/>
      <c r="HG61" s="1608"/>
      <c r="HH61" s="1608"/>
      <c r="HI61" s="1608"/>
      <c r="HJ61" s="1608"/>
      <c r="HK61" s="1608"/>
      <c r="HL61" s="1608"/>
      <c r="HM61" s="1608"/>
      <c r="HN61" s="1608"/>
      <c r="HO61" s="1608"/>
      <c r="HP61" s="1608"/>
      <c r="HQ61" s="1608"/>
      <c r="HR61" s="1608"/>
      <c r="HS61" s="1608"/>
      <c r="HT61" s="1608"/>
      <c r="HU61" s="1608"/>
      <c r="HV61" s="1608"/>
      <c r="HW61" s="1608"/>
      <c r="HX61" s="1608"/>
      <c r="HY61" s="1608"/>
      <c r="HZ61" s="1608"/>
      <c r="IA61" s="1608"/>
      <c r="IB61" s="1608"/>
      <c r="IC61" s="1608"/>
      <c r="ID61" s="1608"/>
      <c r="IE61" s="1608"/>
      <c r="IF61" s="1608"/>
      <c r="IG61" s="1608"/>
      <c r="IH61" s="1608"/>
      <c r="II61" s="1608"/>
      <c r="IJ61" s="1608"/>
      <c r="IK61" s="1608"/>
      <c r="IL61" s="1608"/>
      <c r="IM61" s="1608"/>
      <c r="IN61" s="1608"/>
      <c r="IO61" s="1608"/>
      <c r="IP61" s="1608"/>
      <c r="IQ61" s="1608"/>
    </row>
    <row r="62" spans="1:251" ht="18" customHeight="1" x14ac:dyDescent="0.3">
      <c r="A62" s="597">
        <v>53</v>
      </c>
      <c r="B62" s="608"/>
      <c r="C62" s="585"/>
      <c r="D62" s="910" t="s">
        <v>652</v>
      </c>
      <c r="E62" s="609"/>
      <c r="F62" s="610"/>
      <c r="G62" s="1602"/>
      <c r="H62" s="1603"/>
      <c r="I62" s="1607"/>
      <c r="J62" s="609"/>
      <c r="K62" s="609"/>
      <c r="L62" s="613">
        <f t="shared" si="0"/>
        <v>0</v>
      </c>
      <c r="M62" s="617"/>
      <c r="N62" s="1608"/>
      <c r="O62" s="1608"/>
      <c r="P62" s="1608"/>
      <c r="Q62" s="1608"/>
      <c r="R62" s="1608"/>
      <c r="S62" s="1608"/>
      <c r="T62" s="1608"/>
      <c r="U62" s="1608"/>
      <c r="V62" s="1608"/>
      <c r="W62" s="1608"/>
      <c r="X62" s="1608"/>
      <c r="Y62" s="1608"/>
      <c r="Z62" s="1608"/>
      <c r="AA62" s="1608"/>
      <c r="AB62" s="1608"/>
      <c r="AC62" s="1608"/>
      <c r="AD62" s="1608"/>
      <c r="AE62" s="1608"/>
      <c r="AF62" s="1608"/>
      <c r="AG62" s="1608"/>
      <c r="AH62" s="1608"/>
      <c r="AI62" s="1608"/>
      <c r="AJ62" s="1608"/>
      <c r="AK62" s="1608"/>
      <c r="AL62" s="1608"/>
      <c r="AM62" s="1608"/>
      <c r="AN62" s="1608"/>
      <c r="AO62" s="1608"/>
      <c r="AP62" s="1608"/>
      <c r="AQ62" s="1608"/>
      <c r="AR62" s="1608"/>
      <c r="AS62" s="1608"/>
      <c r="AT62" s="1608"/>
      <c r="AU62" s="1608"/>
      <c r="AV62" s="1608"/>
      <c r="AW62" s="1608"/>
      <c r="AX62" s="1608"/>
      <c r="AY62" s="1608"/>
      <c r="AZ62" s="1608"/>
      <c r="BA62" s="1608"/>
      <c r="BB62" s="1608"/>
      <c r="BC62" s="1608"/>
      <c r="BD62" s="1608"/>
      <c r="BE62" s="1608"/>
      <c r="BF62" s="1608"/>
      <c r="BG62" s="1608"/>
      <c r="BH62" s="1608"/>
      <c r="BI62" s="1608"/>
      <c r="BJ62" s="1608"/>
      <c r="BK62" s="1608"/>
      <c r="BL62" s="1608"/>
      <c r="BM62" s="1608"/>
      <c r="BN62" s="1608"/>
      <c r="BO62" s="1608"/>
      <c r="BP62" s="1608"/>
      <c r="BQ62" s="1608"/>
      <c r="BR62" s="1608"/>
      <c r="BS62" s="1608"/>
      <c r="BT62" s="1608"/>
      <c r="BU62" s="1608"/>
      <c r="BV62" s="1608"/>
      <c r="BW62" s="1608"/>
      <c r="BX62" s="1608"/>
      <c r="BY62" s="1608"/>
      <c r="BZ62" s="1608"/>
      <c r="CA62" s="1608"/>
      <c r="CB62" s="1608"/>
      <c r="CC62" s="1608"/>
      <c r="CD62" s="1608"/>
      <c r="CE62" s="1608"/>
      <c r="CF62" s="1608"/>
      <c r="CG62" s="1608"/>
      <c r="CH62" s="1608"/>
      <c r="CI62" s="1608"/>
      <c r="CJ62" s="1608"/>
      <c r="CK62" s="1608"/>
      <c r="CL62" s="1608"/>
      <c r="CM62" s="1608"/>
      <c r="CN62" s="1608"/>
      <c r="CO62" s="1608"/>
      <c r="CP62" s="1608"/>
      <c r="CQ62" s="1608"/>
      <c r="CR62" s="1608"/>
      <c r="CS62" s="1608"/>
      <c r="CT62" s="1608"/>
      <c r="CU62" s="1608"/>
      <c r="CV62" s="1608"/>
      <c r="CW62" s="1608"/>
      <c r="CX62" s="1608"/>
      <c r="CY62" s="1608"/>
      <c r="CZ62" s="1608"/>
      <c r="DA62" s="1608"/>
      <c r="DB62" s="1608"/>
      <c r="DC62" s="1608"/>
      <c r="DD62" s="1608"/>
      <c r="DE62" s="1608"/>
      <c r="DF62" s="1608"/>
      <c r="DG62" s="1608"/>
      <c r="DH62" s="1608"/>
      <c r="DI62" s="1608"/>
      <c r="DJ62" s="1608"/>
      <c r="DK62" s="1608"/>
      <c r="DL62" s="1608"/>
      <c r="DM62" s="1608"/>
      <c r="DN62" s="1608"/>
      <c r="DO62" s="1608"/>
      <c r="DP62" s="1608"/>
      <c r="DQ62" s="1608"/>
      <c r="DR62" s="1608"/>
      <c r="DS62" s="1608"/>
      <c r="DT62" s="1608"/>
      <c r="DU62" s="1608"/>
      <c r="DV62" s="1608"/>
      <c r="DW62" s="1608"/>
      <c r="DX62" s="1608"/>
      <c r="DY62" s="1608"/>
      <c r="DZ62" s="1608"/>
      <c r="EA62" s="1608"/>
      <c r="EB62" s="1608"/>
      <c r="EC62" s="1608"/>
      <c r="ED62" s="1608"/>
      <c r="EE62" s="1608"/>
      <c r="EF62" s="1608"/>
      <c r="EG62" s="1608"/>
      <c r="EH62" s="1608"/>
      <c r="EI62" s="1608"/>
      <c r="EJ62" s="1608"/>
      <c r="EK62" s="1608"/>
      <c r="EL62" s="1608"/>
      <c r="EM62" s="1608"/>
      <c r="EN62" s="1608"/>
      <c r="EO62" s="1608"/>
      <c r="EP62" s="1608"/>
      <c r="EQ62" s="1608"/>
      <c r="ER62" s="1608"/>
      <c r="ES62" s="1608"/>
      <c r="ET62" s="1608"/>
      <c r="EU62" s="1608"/>
      <c r="EV62" s="1608"/>
      <c r="EW62" s="1608"/>
      <c r="EX62" s="1608"/>
      <c r="EY62" s="1608"/>
      <c r="EZ62" s="1608"/>
      <c r="FA62" s="1608"/>
      <c r="FB62" s="1608"/>
      <c r="FC62" s="1608"/>
      <c r="FD62" s="1608"/>
      <c r="FE62" s="1608"/>
      <c r="FF62" s="1608"/>
      <c r="FG62" s="1608"/>
      <c r="FH62" s="1608"/>
      <c r="FI62" s="1608"/>
      <c r="FJ62" s="1608"/>
      <c r="FK62" s="1608"/>
      <c r="FL62" s="1608"/>
      <c r="FM62" s="1608"/>
      <c r="FN62" s="1608"/>
      <c r="FO62" s="1608"/>
      <c r="FP62" s="1608"/>
      <c r="FQ62" s="1608"/>
      <c r="FR62" s="1608"/>
      <c r="FS62" s="1608"/>
      <c r="FT62" s="1608"/>
      <c r="FU62" s="1608"/>
      <c r="FV62" s="1608"/>
      <c r="FW62" s="1608"/>
      <c r="FX62" s="1608"/>
      <c r="FY62" s="1608"/>
      <c r="FZ62" s="1608"/>
      <c r="GA62" s="1608"/>
      <c r="GB62" s="1608"/>
      <c r="GC62" s="1608"/>
      <c r="GD62" s="1608"/>
      <c r="GE62" s="1608"/>
      <c r="GF62" s="1608"/>
      <c r="GG62" s="1608"/>
      <c r="GH62" s="1608"/>
      <c r="GI62" s="1608"/>
      <c r="GJ62" s="1608"/>
      <c r="GK62" s="1608"/>
      <c r="GL62" s="1608"/>
      <c r="GM62" s="1608"/>
      <c r="GN62" s="1608"/>
      <c r="GO62" s="1608"/>
      <c r="GP62" s="1608"/>
      <c r="GQ62" s="1608"/>
      <c r="GR62" s="1608"/>
      <c r="GS62" s="1608"/>
      <c r="GT62" s="1608"/>
      <c r="GU62" s="1608"/>
      <c r="GV62" s="1608"/>
      <c r="GW62" s="1608"/>
      <c r="GX62" s="1608"/>
      <c r="GY62" s="1608"/>
      <c r="GZ62" s="1608"/>
      <c r="HA62" s="1608"/>
      <c r="HB62" s="1608"/>
      <c r="HC62" s="1608"/>
      <c r="HD62" s="1608"/>
      <c r="HE62" s="1608"/>
      <c r="HF62" s="1608"/>
      <c r="HG62" s="1608"/>
      <c r="HH62" s="1608"/>
      <c r="HI62" s="1608"/>
      <c r="HJ62" s="1608"/>
      <c r="HK62" s="1608"/>
      <c r="HL62" s="1608"/>
      <c r="HM62" s="1608"/>
      <c r="HN62" s="1608"/>
      <c r="HO62" s="1608"/>
      <c r="HP62" s="1608"/>
      <c r="HQ62" s="1608"/>
      <c r="HR62" s="1608"/>
      <c r="HS62" s="1608"/>
      <c r="HT62" s="1608"/>
      <c r="HU62" s="1608"/>
      <c r="HV62" s="1608"/>
      <c r="HW62" s="1608"/>
      <c r="HX62" s="1608"/>
      <c r="HY62" s="1608"/>
      <c r="HZ62" s="1608"/>
      <c r="IA62" s="1608"/>
      <c r="IB62" s="1608"/>
      <c r="IC62" s="1608"/>
      <c r="ID62" s="1608"/>
      <c r="IE62" s="1608"/>
      <c r="IF62" s="1608"/>
      <c r="IG62" s="1608"/>
      <c r="IH62" s="1608"/>
      <c r="II62" s="1608"/>
      <c r="IJ62" s="1608"/>
      <c r="IK62" s="1608"/>
      <c r="IL62" s="1608"/>
      <c r="IM62" s="1608"/>
      <c r="IN62" s="1608"/>
      <c r="IO62" s="1608"/>
      <c r="IP62" s="1608"/>
      <c r="IQ62" s="1608"/>
    </row>
    <row r="63" spans="1:251" ht="18" customHeight="1" x14ac:dyDescent="0.3">
      <c r="A63" s="597">
        <v>54</v>
      </c>
      <c r="B63" s="608"/>
      <c r="C63" s="585"/>
      <c r="D63" s="1146" t="s">
        <v>858</v>
      </c>
      <c r="E63" s="609"/>
      <c r="F63" s="610"/>
      <c r="G63" s="1602"/>
      <c r="H63" s="1603"/>
      <c r="I63" s="1607"/>
      <c r="J63" s="609">
        <f>SUM(J61:J62)</f>
        <v>5371</v>
      </c>
      <c r="K63" s="609"/>
      <c r="L63" s="613">
        <f t="shared" si="0"/>
        <v>5371</v>
      </c>
      <c r="M63" s="617"/>
      <c r="N63" s="1608"/>
      <c r="O63" s="1608"/>
      <c r="P63" s="1608"/>
      <c r="Q63" s="1608"/>
      <c r="R63" s="1608"/>
      <c r="S63" s="1608"/>
      <c r="T63" s="1608"/>
      <c r="U63" s="1608"/>
      <c r="V63" s="1608"/>
      <c r="W63" s="1608"/>
      <c r="X63" s="1608"/>
      <c r="Y63" s="1608"/>
      <c r="Z63" s="1608"/>
      <c r="AA63" s="1608"/>
      <c r="AB63" s="1608"/>
      <c r="AC63" s="1608"/>
      <c r="AD63" s="1608"/>
      <c r="AE63" s="1608"/>
      <c r="AF63" s="1608"/>
      <c r="AG63" s="1608"/>
      <c r="AH63" s="1608"/>
      <c r="AI63" s="1608"/>
      <c r="AJ63" s="1608"/>
      <c r="AK63" s="1608"/>
      <c r="AL63" s="1608"/>
      <c r="AM63" s="1608"/>
      <c r="AN63" s="1608"/>
      <c r="AO63" s="1608"/>
      <c r="AP63" s="1608"/>
      <c r="AQ63" s="1608"/>
      <c r="AR63" s="1608"/>
      <c r="AS63" s="1608"/>
      <c r="AT63" s="1608"/>
      <c r="AU63" s="1608"/>
      <c r="AV63" s="1608"/>
      <c r="AW63" s="1608"/>
      <c r="AX63" s="1608"/>
      <c r="AY63" s="1608"/>
      <c r="AZ63" s="1608"/>
      <c r="BA63" s="1608"/>
      <c r="BB63" s="1608"/>
      <c r="BC63" s="1608"/>
      <c r="BD63" s="1608"/>
      <c r="BE63" s="1608"/>
      <c r="BF63" s="1608"/>
      <c r="BG63" s="1608"/>
      <c r="BH63" s="1608"/>
      <c r="BI63" s="1608"/>
      <c r="BJ63" s="1608"/>
      <c r="BK63" s="1608"/>
      <c r="BL63" s="1608"/>
      <c r="BM63" s="1608"/>
      <c r="BN63" s="1608"/>
      <c r="BO63" s="1608"/>
      <c r="BP63" s="1608"/>
      <c r="BQ63" s="1608"/>
      <c r="BR63" s="1608"/>
      <c r="BS63" s="1608"/>
      <c r="BT63" s="1608"/>
      <c r="BU63" s="1608"/>
      <c r="BV63" s="1608"/>
      <c r="BW63" s="1608"/>
      <c r="BX63" s="1608"/>
      <c r="BY63" s="1608"/>
      <c r="BZ63" s="1608"/>
      <c r="CA63" s="1608"/>
      <c r="CB63" s="1608"/>
      <c r="CC63" s="1608"/>
      <c r="CD63" s="1608"/>
      <c r="CE63" s="1608"/>
      <c r="CF63" s="1608"/>
      <c r="CG63" s="1608"/>
      <c r="CH63" s="1608"/>
      <c r="CI63" s="1608"/>
      <c r="CJ63" s="1608"/>
      <c r="CK63" s="1608"/>
      <c r="CL63" s="1608"/>
      <c r="CM63" s="1608"/>
      <c r="CN63" s="1608"/>
      <c r="CO63" s="1608"/>
      <c r="CP63" s="1608"/>
      <c r="CQ63" s="1608"/>
      <c r="CR63" s="1608"/>
      <c r="CS63" s="1608"/>
      <c r="CT63" s="1608"/>
      <c r="CU63" s="1608"/>
      <c r="CV63" s="1608"/>
      <c r="CW63" s="1608"/>
      <c r="CX63" s="1608"/>
      <c r="CY63" s="1608"/>
      <c r="CZ63" s="1608"/>
      <c r="DA63" s="1608"/>
      <c r="DB63" s="1608"/>
      <c r="DC63" s="1608"/>
      <c r="DD63" s="1608"/>
      <c r="DE63" s="1608"/>
      <c r="DF63" s="1608"/>
      <c r="DG63" s="1608"/>
      <c r="DH63" s="1608"/>
      <c r="DI63" s="1608"/>
      <c r="DJ63" s="1608"/>
      <c r="DK63" s="1608"/>
      <c r="DL63" s="1608"/>
      <c r="DM63" s="1608"/>
      <c r="DN63" s="1608"/>
      <c r="DO63" s="1608"/>
      <c r="DP63" s="1608"/>
      <c r="DQ63" s="1608"/>
      <c r="DR63" s="1608"/>
      <c r="DS63" s="1608"/>
      <c r="DT63" s="1608"/>
      <c r="DU63" s="1608"/>
      <c r="DV63" s="1608"/>
      <c r="DW63" s="1608"/>
      <c r="DX63" s="1608"/>
      <c r="DY63" s="1608"/>
      <c r="DZ63" s="1608"/>
      <c r="EA63" s="1608"/>
      <c r="EB63" s="1608"/>
      <c r="EC63" s="1608"/>
      <c r="ED63" s="1608"/>
      <c r="EE63" s="1608"/>
      <c r="EF63" s="1608"/>
      <c r="EG63" s="1608"/>
      <c r="EH63" s="1608"/>
      <c r="EI63" s="1608"/>
      <c r="EJ63" s="1608"/>
      <c r="EK63" s="1608"/>
      <c r="EL63" s="1608"/>
      <c r="EM63" s="1608"/>
      <c r="EN63" s="1608"/>
      <c r="EO63" s="1608"/>
      <c r="EP63" s="1608"/>
      <c r="EQ63" s="1608"/>
      <c r="ER63" s="1608"/>
      <c r="ES63" s="1608"/>
      <c r="ET63" s="1608"/>
      <c r="EU63" s="1608"/>
      <c r="EV63" s="1608"/>
      <c r="EW63" s="1608"/>
      <c r="EX63" s="1608"/>
      <c r="EY63" s="1608"/>
      <c r="EZ63" s="1608"/>
      <c r="FA63" s="1608"/>
      <c r="FB63" s="1608"/>
      <c r="FC63" s="1608"/>
      <c r="FD63" s="1608"/>
      <c r="FE63" s="1608"/>
      <c r="FF63" s="1608"/>
      <c r="FG63" s="1608"/>
      <c r="FH63" s="1608"/>
      <c r="FI63" s="1608"/>
      <c r="FJ63" s="1608"/>
      <c r="FK63" s="1608"/>
      <c r="FL63" s="1608"/>
      <c r="FM63" s="1608"/>
      <c r="FN63" s="1608"/>
      <c r="FO63" s="1608"/>
      <c r="FP63" s="1608"/>
      <c r="FQ63" s="1608"/>
      <c r="FR63" s="1608"/>
      <c r="FS63" s="1608"/>
      <c r="FT63" s="1608"/>
      <c r="FU63" s="1608"/>
      <c r="FV63" s="1608"/>
      <c r="FW63" s="1608"/>
      <c r="FX63" s="1608"/>
      <c r="FY63" s="1608"/>
      <c r="FZ63" s="1608"/>
      <c r="GA63" s="1608"/>
      <c r="GB63" s="1608"/>
      <c r="GC63" s="1608"/>
      <c r="GD63" s="1608"/>
      <c r="GE63" s="1608"/>
      <c r="GF63" s="1608"/>
      <c r="GG63" s="1608"/>
      <c r="GH63" s="1608"/>
      <c r="GI63" s="1608"/>
      <c r="GJ63" s="1608"/>
      <c r="GK63" s="1608"/>
      <c r="GL63" s="1608"/>
      <c r="GM63" s="1608"/>
      <c r="GN63" s="1608"/>
      <c r="GO63" s="1608"/>
      <c r="GP63" s="1608"/>
      <c r="GQ63" s="1608"/>
      <c r="GR63" s="1608"/>
      <c r="GS63" s="1608"/>
      <c r="GT63" s="1608"/>
      <c r="GU63" s="1608"/>
      <c r="GV63" s="1608"/>
      <c r="GW63" s="1608"/>
      <c r="GX63" s="1608"/>
      <c r="GY63" s="1608"/>
      <c r="GZ63" s="1608"/>
      <c r="HA63" s="1608"/>
      <c r="HB63" s="1608"/>
      <c r="HC63" s="1608"/>
      <c r="HD63" s="1608"/>
      <c r="HE63" s="1608"/>
      <c r="HF63" s="1608"/>
      <c r="HG63" s="1608"/>
      <c r="HH63" s="1608"/>
      <c r="HI63" s="1608"/>
      <c r="HJ63" s="1608"/>
      <c r="HK63" s="1608"/>
      <c r="HL63" s="1608"/>
      <c r="HM63" s="1608"/>
      <c r="HN63" s="1608"/>
      <c r="HO63" s="1608"/>
      <c r="HP63" s="1608"/>
      <c r="HQ63" s="1608"/>
      <c r="HR63" s="1608"/>
      <c r="HS63" s="1608"/>
      <c r="HT63" s="1608"/>
      <c r="HU63" s="1608"/>
      <c r="HV63" s="1608"/>
      <c r="HW63" s="1608"/>
      <c r="HX63" s="1608"/>
      <c r="HY63" s="1608"/>
      <c r="HZ63" s="1608"/>
      <c r="IA63" s="1608"/>
      <c r="IB63" s="1608"/>
      <c r="IC63" s="1608"/>
      <c r="ID63" s="1608"/>
      <c r="IE63" s="1608"/>
      <c r="IF63" s="1608"/>
      <c r="IG63" s="1608"/>
      <c r="IH63" s="1608"/>
      <c r="II63" s="1608"/>
      <c r="IJ63" s="1608"/>
      <c r="IK63" s="1608"/>
      <c r="IL63" s="1608"/>
      <c r="IM63" s="1608"/>
      <c r="IN63" s="1608"/>
      <c r="IO63" s="1608"/>
      <c r="IP63" s="1608"/>
      <c r="IQ63" s="1608"/>
    </row>
    <row r="64" spans="1:251" ht="22.15" customHeight="1" x14ac:dyDescent="0.3">
      <c r="A64" s="597">
        <v>55</v>
      </c>
      <c r="B64" s="608"/>
      <c r="C64" s="615">
        <v>31</v>
      </c>
      <c r="D64" s="1605" t="s">
        <v>497</v>
      </c>
      <c r="E64" s="609">
        <f>F64+G64</f>
        <v>3359</v>
      </c>
      <c r="F64" s="610">
        <v>3359</v>
      </c>
      <c r="G64" s="1602"/>
      <c r="H64" s="1603" t="s">
        <v>24</v>
      </c>
      <c r="I64" s="1607"/>
      <c r="J64" s="609"/>
      <c r="K64" s="609"/>
      <c r="L64" s="613"/>
      <c r="M64" s="617"/>
    </row>
    <row r="65" spans="1:13" ht="22.15" customHeight="1" x14ac:dyDescent="0.35">
      <c r="A65" s="597">
        <v>56</v>
      </c>
      <c r="B65" s="608"/>
      <c r="C65" s="615">
        <v>37</v>
      </c>
      <c r="D65" s="1609" t="s">
        <v>377</v>
      </c>
      <c r="E65" s="609">
        <f>F65+G65+L69+M66</f>
        <v>18119</v>
      </c>
      <c r="F65" s="610">
        <v>850</v>
      </c>
      <c r="G65" s="618">
        <v>5112</v>
      </c>
      <c r="H65" s="619" t="s">
        <v>24</v>
      </c>
      <c r="I65" s="609"/>
      <c r="J65" s="609"/>
      <c r="K65" s="609"/>
      <c r="L65" s="620"/>
      <c r="M65" s="617"/>
    </row>
    <row r="66" spans="1:13" ht="18" customHeight="1" x14ac:dyDescent="0.3">
      <c r="A66" s="597">
        <v>57</v>
      </c>
      <c r="B66" s="608"/>
      <c r="C66" s="585"/>
      <c r="D66" s="1610" t="s">
        <v>245</v>
      </c>
      <c r="E66" s="609"/>
      <c r="F66" s="610"/>
      <c r="G66" s="618"/>
      <c r="H66" s="619"/>
      <c r="I66" s="609"/>
      <c r="J66" s="1611">
        <f>J76+J81+J86+J71+J91+J96+J101+J106+J111</f>
        <v>4194</v>
      </c>
      <c r="K66" s="1611">
        <f>K76+K81+K86+K71+K91+K96+K101+K106+K111</f>
        <v>350</v>
      </c>
      <c r="L66" s="622">
        <f t="shared" ref="L66:L215" si="2">SUM(I66:K66)</f>
        <v>4544</v>
      </c>
      <c r="M66" s="617"/>
    </row>
    <row r="67" spans="1:13" ht="18" customHeight="1" x14ac:dyDescent="0.3">
      <c r="A67" s="597">
        <v>58</v>
      </c>
      <c r="B67" s="608"/>
      <c r="C67" s="585"/>
      <c r="D67" s="1604" t="s">
        <v>810</v>
      </c>
      <c r="E67" s="609"/>
      <c r="F67" s="610"/>
      <c r="G67" s="618"/>
      <c r="H67" s="619"/>
      <c r="I67" s="609"/>
      <c r="J67" s="1611">
        <f>J77+J82+J87+J72+J92+J97+J102+J107+J112+J116+J120+J124+J128+J132+J136+J140</f>
        <v>9758</v>
      </c>
      <c r="K67" s="1611">
        <f>K77+K82+K87+K72+K92+K97+K102+K107+K112+K116+K120+K124+K128+K132+K136+K140</f>
        <v>2400</v>
      </c>
      <c r="L67" s="622">
        <f>SUM(I67:K67)</f>
        <v>12158</v>
      </c>
      <c r="M67" s="617"/>
    </row>
    <row r="68" spans="1:13" ht="18" customHeight="1" x14ac:dyDescent="0.3">
      <c r="A68" s="597">
        <v>59</v>
      </c>
      <c r="B68" s="608"/>
      <c r="C68" s="585"/>
      <c r="D68" s="910" t="s">
        <v>652</v>
      </c>
      <c r="E68" s="609"/>
      <c r="F68" s="610"/>
      <c r="G68" s="618"/>
      <c r="H68" s="619"/>
      <c r="I68" s="1612"/>
      <c r="J68" s="1612">
        <f>J78+J83+J88+J73+J93+J98+J103+J108+J113+J117+J121+J125+J129+J133+J137+J141+J144+J147</f>
        <v>-1</v>
      </c>
      <c r="K68" s="1612">
        <f>K78+K83+K88+K73+K93+K98+K103+K108+K113+K117+K121+K125+K129+K133+K137+K141+K144+K147</f>
        <v>0</v>
      </c>
      <c r="L68" s="623">
        <f t="shared" si="2"/>
        <v>-1</v>
      </c>
      <c r="M68" s="617"/>
    </row>
    <row r="69" spans="1:13" ht="18" customHeight="1" x14ac:dyDescent="0.3">
      <c r="A69" s="597">
        <v>60</v>
      </c>
      <c r="B69" s="608"/>
      <c r="C69" s="585"/>
      <c r="D69" s="1146" t="s">
        <v>858</v>
      </c>
      <c r="E69" s="609"/>
      <c r="F69" s="610"/>
      <c r="G69" s="618"/>
      <c r="H69" s="619"/>
      <c r="I69" s="609"/>
      <c r="J69" s="1611">
        <f>SUM(J67:J68)</f>
        <v>9757</v>
      </c>
      <c r="K69" s="1611">
        <f>SUM(K67:K68)</f>
        <v>2400</v>
      </c>
      <c r="L69" s="622">
        <f t="shared" si="2"/>
        <v>12157</v>
      </c>
      <c r="M69" s="617"/>
    </row>
    <row r="70" spans="1:13" ht="33.75" customHeight="1" x14ac:dyDescent="0.3">
      <c r="A70" s="597">
        <v>61</v>
      </c>
      <c r="B70" s="608"/>
      <c r="C70" s="585"/>
      <c r="D70" s="1613" t="s">
        <v>477</v>
      </c>
      <c r="E70" s="1612">
        <f>F70+G70+L74</f>
        <v>150</v>
      </c>
      <c r="F70" s="610"/>
      <c r="G70" s="618"/>
      <c r="H70" s="619"/>
      <c r="I70" s="609"/>
      <c r="J70" s="1614"/>
      <c r="K70" s="1614"/>
      <c r="L70" s="1615"/>
      <c r="M70" s="617"/>
    </row>
    <row r="71" spans="1:13" ht="18" customHeight="1" x14ac:dyDescent="0.3">
      <c r="A71" s="597">
        <v>62</v>
      </c>
      <c r="B71" s="608"/>
      <c r="C71" s="585"/>
      <c r="D71" s="1616" t="s">
        <v>245</v>
      </c>
      <c r="E71" s="609"/>
      <c r="F71" s="610"/>
      <c r="G71" s="618"/>
      <c r="H71" s="619"/>
      <c r="I71" s="609"/>
      <c r="J71" s="1614"/>
      <c r="K71" s="1612">
        <v>150</v>
      </c>
      <c r="L71" s="623">
        <f t="shared" si="2"/>
        <v>150</v>
      </c>
      <c r="M71" s="617"/>
    </row>
    <row r="72" spans="1:13" ht="18" customHeight="1" x14ac:dyDescent="0.3">
      <c r="A72" s="597">
        <v>63</v>
      </c>
      <c r="B72" s="608"/>
      <c r="C72" s="585"/>
      <c r="D72" s="1617" t="s">
        <v>810</v>
      </c>
      <c r="E72" s="609"/>
      <c r="F72" s="610"/>
      <c r="G72" s="618"/>
      <c r="H72" s="619"/>
      <c r="I72" s="609"/>
      <c r="J72" s="1614"/>
      <c r="K72" s="1612">
        <v>150</v>
      </c>
      <c r="L72" s="623">
        <f t="shared" si="2"/>
        <v>150</v>
      </c>
      <c r="M72" s="617"/>
    </row>
    <row r="73" spans="1:13" ht="18" customHeight="1" x14ac:dyDescent="0.3">
      <c r="A73" s="597">
        <v>64</v>
      </c>
      <c r="B73" s="608"/>
      <c r="C73" s="585"/>
      <c r="D73" s="1617" t="s">
        <v>652</v>
      </c>
      <c r="E73" s="609"/>
      <c r="F73" s="610"/>
      <c r="G73" s="618"/>
      <c r="H73" s="619"/>
      <c r="I73" s="609"/>
      <c r="J73" s="1614"/>
      <c r="K73" s="1612"/>
      <c r="L73" s="623">
        <f t="shared" si="2"/>
        <v>0</v>
      </c>
      <c r="M73" s="617"/>
    </row>
    <row r="74" spans="1:13" ht="18" customHeight="1" x14ac:dyDescent="0.3">
      <c r="A74" s="597">
        <v>65</v>
      </c>
      <c r="B74" s="608"/>
      <c r="C74" s="585"/>
      <c r="D74" s="1617" t="s">
        <v>858</v>
      </c>
      <c r="E74" s="609"/>
      <c r="F74" s="610"/>
      <c r="G74" s="618"/>
      <c r="H74" s="619"/>
      <c r="I74" s="609"/>
      <c r="J74" s="1614"/>
      <c r="K74" s="1612">
        <f>SUM(K72:K73)</f>
        <v>150</v>
      </c>
      <c r="L74" s="623">
        <f t="shared" si="2"/>
        <v>150</v>
      </c>
      <c r="M74" s="617"/>
    </row>
    <row r="75" spans="1:13" ht="22.15" customHeight="1" x14ac:dyDescent="0.3">
      <c r="A75" s="597">
        <v>66</v>
      </c>
      <c r="B75" s="608"/>
      <c r="C75" s="585"/>
      <c r="D75" s="1618" t="s">
        <v>693</v>
      </c>
      <c r="E75" s="1612">
        <f>F75+G75+L79</f>
        <v>100</v>
      </c>
      <c r="F75" s="610"/>
      <c r="G75" s="618"/>
      <c r="H75" s="619"/>
      <c r="I75" s="609"/>
      <c r="J75" s="609"/>
      <c r="K75" s="609"/>
      <c r="L75" s="620"/>
      <c r="M75" s="617"/>
    </row>
    <row r="76" spans="1:13" ht="18" customHeight="1" x14ac:dyDescent="0.3">
      <c r="A76" s="597">
        <v>67</v>
      </c>
      <c r="B76" s="608"/>
      <c r="C76" s="585"/>
      <c r="D76" s="1616" t="s">
        <v>245</v>
      </c>
      <c r="E76" s="609"/>
      <c r="F76" s="610"/>
      <c r="G76" s="618"/>
      <c r="H76" s="619"/>
      <c r="I76" s="609"/>
      <c r="J76" s="1612">
        <v>100</v>
      </c>
      <c r="K76" s="1612"/>
      <c r="L76" s="623">
        <f t="shared" si="2"/>
        <v>100</v>
      </c>
      <c r="M76" s="617"/>
    </row>
    <row r="77" spans="1:13" ht="18" customHeight="1" x14ac:dyDescent="0.3">
      <c r="A77" s="597">
        <v>68</v>
      </c>
      <c r="B77" s="608"/>
      <c r="C77" s="585"/>
      <c r="D77" s="1617" t="s">
        <v>810</v>
      </c>
      <c r="E77" s="609"/>
      <c r="F77" s="610"/>
      <c r="G77" s="618"/>
      <c r="H77" s="619"/>
      <c r="I77" s="609"/>
      <c r="J77" s="1612">
        <v>100</v>
      </c>
      <c r="K77" s="1612"/>
      <c r="L77" s="623">
        <f t="shared" si="2"/>
        <v>100</v>
      </c>
      <c r="M77" s="617"/>
    </row>
    <row r="78" spans="1:13" ht="18" customHeight="1" x14ac:dyDescent="0.3">
      <c r="A78" s="597">
        <v>69</v>
      </c>
      <c r="B78" s="608"/>
      <c r="C78" s="585"/>
      <c r="D78" s="1617" t="s">
        <v>652</v>
      </c>
      <c r="E78" s="609"/>
      <c r="F78" s="610"/>
      <c r="G78" s="618"/>
      <c r="H78" s="619"/>
      <c r="I78" s="609"/>
      <c r="J78" s="1612"/>
      <c r="K78" s="1612"/>
      <c r="L78" s="623">
        <f t="shared" si="2"/>
        <v>0</v>
      </c>
      <c r="M78" s="617"/>
    </row>
    <row r="79" spans="1:13" ht="18" customHeight="1" x14ac:dyDescent="0.3">
      <c r="A79" s="597">
        <v>70</v>
      </c>
      <c r="B79" s="608"/>
      <c r="C79" s="585"/>
      <c r="D79" s="1617" t="s">
        <v>858</v>
      </c>
      <c r="E79" s="609"/>
      <c r="F79" s="610"/>
      <c r="G79" s="618"/>
      <c r="H79" s="619"/>
      <c r="I79" s="609"/>
      <c r="J79" s="1612">
        <f>SUM(J77:J78)</f>
        <v>100</v>
      </c>
      <c r="K79" s="1612"/>
      <c r="L79" s="623">
        <f t="shared" si="2"/>
        <v>100</v>
      </c>
      <c r="M79" s="617"/>
    </row>
    <row r="80" spans="1:13" ht="32.25" customHeight="1" x14ac:dyDescent="0.3">
      <c r="A80" s="597">
        <v>71</v>
      </c>
      <c r="B80" s="608"/>
      <c r="C80" s="585"/>
      <c r="D80" s="1617" t="s">
        <v>692</v>
      </c>
      <c r="E80" s="1612">
        <f>F80+G80+L84</f>
        <v>72</v>
      </c>
      <c r="F80" s="610"/>
      <c r="G80" s="618"/>
      <c r="H80" s="619"/>
      <c r="I80" s="609"/>
      <c r="J80" s="1612"/>
      <c r="K80" s="1612"/>
      <c r="L80" s="623"/>
      <c r="M80" s="617"/>
    </row>
    <row r="81" spans="1:13" ht="18" customHeight="1" x14ac:dyDescent="0.3">
      <c r="A81" s="597">
        <v>72</v>
      </c>
      <c r="B81" s="608"/>
      <c r="C81" s="585"/>
      <c r="D81" s="1616" t="s">
        <v>245</v>
      </c>
      <c r="E81" s="609"/>
      <c r="F81" s="610"/>
      <c r="G81" s="618"/>
      <c r="H81" s="619"/>
      <c r="I81" s="609"/>
      <c r="J81" s="1612">
        <v>72</v>
      </c>
      <c r="K81" s="1612"/>
      <c r="L81" s="623">
        <f t="shared" si="2"/>
        <v>72</v>
      </c>
      <c r="M81" s="617"/>
    </row>
    <row r="82" spans="1:13" ht="18" customHeight="1" x14ac:dyDescent="0.3">
      <c r="A82" s="597">
        <v>73</v>
      </c>
      <c r="B82" s="608"/>
      <c r="C82" s="585"/>
      <c r="D82" s="1617" t="s">
        <v>810</v>
      </c>
      <c r="E82" s="609"/>
      <c r="F82" s="610"/>
      <c r="G82" s="618"/>
      <c r="H82" s="619"/>
      <c r="I82" s="609"/>
      <c r="J82" s="1612">
        <v>72</v>
      </c>
      <c r="K82" s="1612"/>
      <c r="L82" s="623">
        <f t="shared" si="2"/>
        <v>72</v>
      </c>
      <c r="M82" s="617"/>
    </row>
    <row r="83" spans="1:13" ht="18" customHeight="1" x14ac:dyDescent="0.3">
      <c r="A83" s="597">
        <v>74</v>
      </c>
      <c r="B83" s="608"/>
      <c r="C83" s="585"/>
      <c r="D83" s="1617" t="s">
        <v>652</v>
      </c>
      <c r="E83" s="609"/>
      <c r="F83" s="610"/>
      <c r="G83" s="618"/>
      <c r="H83" s="619"/>
      <c r="I83" s="609"/>
      <c r="J83" s="1612"/>
      <c r="K83" s="1612"/>
      <c r="L83" s="623">
        <f t="shared" si="2"/>
        <v>0</v>
      </c>
      <c r="M83" s="617"/>
    </row>
    <row r="84" spans="1:13" ht="18" customHeight="1" x14ac:dyDescent="0.3">
      <c r="A84" s="597">
        <v>75</v>
      </c>
      <c r="B84" s="608"/>
      <c r="C84" s="585"/>
      <c r="D84" s="1617" t="s">
        <v>858</v>
      </c>
      <c r="E84" s="609"/>
      <c r="F84" s="610"/>
      <c r="G84" s="618"/>
      <c r="H84" s="619"/>
      <c r="I84" s="609"/>
      <c r="J84" s="1612">
        <f>SUM(J82:J83)</f>
        <v>72</v>
      </c>
      <c r="K84" s="1612"/>
      <c r="L84" s="623">
        <f t="shared" si="2"/>
        <v>72</v>
      </c>
      <c r="M84" s="617"/>
    </row>
    <row r="85" spans="1:13" ht="30.75" customHeight="1" x14ac:dyDescent="0.3">
      <c r="A85" s="597">
        <v>76</v>
      </c>
      <c r="B85" s="608"/>
      <c r="C85" s="585"/>
      <c r="D85" s="1617" t="s">
        <v>694</v>
      </c>
      <c r="E85" s="1612">
        <f>F85+G85+L89</f>
        <v>0</v>
      </c>
      <c r="F85" s="610"/>
      <c r="G85" s="618"/>
      <c r="H85" s="619"/>
      <c r="I85" s="609"/>
      <c r="J85" s="1612"/>
      <c r="K85" s="1612"/>
      <c r="L85" s="623"/>
      <c r="M85" s="617"/>
    </row>
    <row r="86" spans="1:13" ht="18" customHeight="1" x14ac:dyDescent="0.3">
      <c r="A86" s="597">
        <v>77</v>
      </c>
      <c r="B86" s="608"/>
      <c r="C86" s="585"/>
      <c r="D86" s="1616" t="s">
        <v>245</v>
      </c>
      <c r="E86" s="609"/>
      <c r="F86" s="610"/>
      <c r="G86" s="618"/>
      <c r="H86" s="619"/>
      <c r="I86" s="609"/>
      <c r="J86" s="1612">
        <v>221</v>
      </c>
      <c r="K86" s="1612"/>
      <c r="L86" s="623">
        <f t="shared" si="2"/>
        <v>221</v>
      </c>
      <c r="M86" s="617"/>
    </row>
    <row r="87" spans="1:13" ht="18" customHeight="1" x14ac:dyDescent="0.3">
      <c r="A87" s="597">
        <v>78</v>
      </c>
      <c r="B87" s="608"/>
      <c r="C87" s="585"/>
      <c r="D87" s="1617" t="s">
        <v>810</v>
      </c>
      <c r="E87" s="609"/>
      <c r="F87" s="610"/>
      <c r="G87" s="618"/>
      <c r="H87" s="619"/>
      <c r="I87" s="609"/>
      <c r="J87" s="1612">
        <v>221</v>
      </c>
      <c r="K87" s="1612"/>
      <c r="L87" s="623">
        <f t="shared" si="2"/>
        <v>221</v>
      </c>
      <c r="M87" s="617"/>
    </row>
    <row r="88" spans="1:13" ht="18" customHeight="1" x14ac:dyDescent="0.3">
      <c r="A88" s="597">
        <v>79</v>
      </c>
      <c r="B88" s="608"/>
      <c r="C88" s="585"/>
      <c r="D88" s="1617" t="s">
        <v>897</v>
      </c>
      <c r="E88" s="609"/>
      <c r="F88" s="610"/>
      <c r="G88" s="618"/>
      <c r="H88" s="619"/>
      <c r="I88" s="609"/>
      <c r="J88" s="1612">
        <v>-221</v>
      </c>
      <c r="K88" s="1612"/>
      <c r="L88" s="623">
        <f t="shared" si="2"/>
        <v>-221</v>
      </c>
      <c r="M88" s="617"/>
    </row>
    <row r="89" spans="1:13" ht="18" customHeight="1" x14ac:dyDescent="0.3">
      <c r="A89" s="597">
        <v>80</v>
      </c>
      <c r="B89" s="608"/>
      <c r="C89" s="585"/>
      <c r="D89" s="1617" t="s">
        <v>858</v>
      </c>
      <c r="E89" s="609"/>
      <c r="F89" s="610"/>
      <c r="G89" s="618"/>
      <c r="H89" s="619"/>
      <c r="I89" s="609"/>
      <c r="J89" s="1612">
        <f>SUM(J87:J88)</f>
        <v>0</v>
      </c>
      <c r="K89" s="1612"/>
      <c r="L89" s="623">
        <f t="shared" si="2"/>
        <v>0</v>
      </c>
      <c r="M89" s="617"/>
    </row>
    <row r="90" spans="1:13" ht="18" customHeight="1" x14ac:dyDescent="0.3">
      <c r="A90" s="597">
        <v>81</v>
      </c>
      <c r="B90" s="608"/>
      <c r="C90" s="585"/>
      <c r="D90" s="1617" t="s">
        <v>695</v>
      </c>
      <c r="E90" s="1612">
        <f>F90+G90+L94</f>
        <v>300</v>
      </c>
      <c r="F90" s="610"/>
      <c r="G90" s="618"/>
      <c r="H90" s="619"/>
      <c r="I90" s="609"/>
      <c r="J90" s="1612"/>
      <c r="K90" s="1612"/>
      <c r="L90" s="623"/>
      <c r="M90" s="617"/>
    </row>
    <row r="91" spans="1:13" ht="18" customHeight="1" x14ac:dyDescent="0.3">
      <c r="A91" s="597">
        <v>82</v>
      </c>
      <c r="B91" s="608"/>
      <c r="C91" s="585"/>
      <c r="D91" s="1616" t="s">
        <v>245</v>
      </c>
      <c r="E91" s="609"/>
      <c r="F91" s="610"/>
      <c r="G91" s="618"/>
      <c r="H91" s="619"/>
      <c r="I91" s="609"/>
      <c r="J91" s="1612">
        <v>300</v>
      </c>
      <c r="K91" s="1612"/>
      <c r="L91" s="623">
        <f t="shared" si="2"/>
        <v>300</v>
      </c>
      <c r="M91" s="617"/>
    </row>
    <row r="92" spans="1:13" ht="18" customHeight="1" x14ac:dyDescent="0.3">
      <c r="A92" s="597">
        <v>83</v>
      </c>
      <c r="B92" s="608"/>
      <c r="C92" s="585"/>
      <c r="D92" s="1617" t="s">
        <v>810</v>
      </c>
      <c r="E92" s="609"/>
      <c r="F92" s="610"/>
      <c r="G92" s="618"/>
      <c r="H92" s="619"/>
      <c r="I92" s="609"/>
      <c r="J92" s="1612">
        <v>300</v>
      </c>
      <c r="K92" s="1612"/>
      <c r="L92" s="623">
        <f t="shared" si="2"/>
        <v>300</v>
      </c>
      <c r="M92" s="617"/>
    </row>
    <row r="93" spans="1:13" ht="18" customHeight="1" x14ac:dyDescent="0.3">
      <c r="A93" s="597">
        <v>84</v>
      </c>
      <c r="B93" s="608"/>
      <c r="C93" s="585"/>
      <c r="D93" s="1617" t="s">
        <v>652</v>
      </c>
      <c r="E93" s="609"/>
      <c r="F93" s="610"/>
      <c r="G93" s="618"/>
      <c r="H93" s="619"/>
      <c r="I93" s="609"/>
      <c r="J93" s="1612"/>
      <c r="K93" s="1612"/>
      <c r="L93" s="623">
        <f t="shared" si="2"/>
        <v>0</v>
      </c>
      <c r="M93" s="617"/>
    </row>
    <row r="94" spans="1:13" ht="18" customHeight="1" x14ac:dyDescent="0.3">
      <c r="A94" s="597">
        <v>85</v>
      </c>
      <c r="B94" s="608"/>
      <c r="C94" s="585"/>
      <c r="D94" s="1617" t="s">
        <v>858</v>
      </c>
      <c r="E94" s="609"/>
      <c r="F94" s="610"/>
      <c r="G94" s="618"/>
      <c r="H94" s="619"/>
      <c r="I94" s="609"/>
      <c r="J94" s="1612">
        <f>SUM(J92:J93)</f>
        <v>300</v>
      </c>
      <c r="K94" s="1612"/>
      <c r="L94" s="623">
        <f t="shared" si="2"/>
        <v>300</v>
      </c>
      <c r="M94" s="617"/>
    </row>
    <row r="95" spans="1:13" ht="18" customHeight="1" x14ac:dyDescent="0.3">
      <c r="A95" s="597">
        <v>86</v>
      </c>
      <c r="B95" s="608"/>
      <c r="C95" s="585"/>
      <c r="D95" s="1617" t="s">
        <v>696</v>
      </c>
      <c r="E95" s="1612">
        <f>F95+G95+L99</f>
        <v>1200</v>
      </c>
      <c r="F95" s="610"/>
      <c r="G95" s="618"/>
      <c r="H95" s="619"/>
      <c r="I95" s="609"/>
      <c r="J95" s="1612"/>
      <c r="K95" s="1612"/>
      <c r="L95" s="623"/>
      <c r="M95" s="617"/>
    </row>
    <row r="96" spans="1:13" ht="18" customHeight="1" x14ac:dyDescent="0.3">
      <c r="A96" s="597">
        <v>87</v>
      </c>
      <c r="B96" s="608"/>
      <c r="C96" s="585"/>
      <c r="D96" s="1616" t="s">
        <v>245</v>
      </c>
      <c r="E96" s="609"/>
      <c r="F96" s="610"/>
      <c r="G96" s="618"/>
      <c r="H96" s="619"/>
      <c r="I96" s="609"/>
      <c r="J96" s="1612">
        <v>1200</v>
      </c>
      <c r="K96" s="1612"/>
      <c r="L96" s="623">
        <f t="shared" si="2"/>
        <v>1200</v>
      </c>
      <c r="M96" s="617"/>
    </row>
    <row r="97" spans="1:13" ht="18" customHeight="1" x14ac:dyDescent="0.3">
      <c r="A97" s="597">
        <v>88</v>
      </c>
      <c r="B97" s="608"/>
      <c r="C97" s="585"/>
      <c r="D97" s="1617" t="s">
        <v>810</v>
      </c>
      <c r="E97" s="609"/>
      <c r="F97" s="610"/>
      <c r="G97" s="618"/>
      <c r="H97" s="619"/>
      <c r="I97" s="609"/>
      <c r="J97" s="1612">
        <v>1200</v>
      </c>
      <c r="K97" s="1612"/>
      <c r="L97" s="623">
        <f t="shared" si="2"/>
        <v>1200</v>
      </c>
      <c r="M97" s="617"/>
    </row>
    <row r="98" spans="1:13" ht="18" customHeight="1" x14ac:dyDescent="0.3">
      <c r="A98" s="597">
        <v>89</v>
      </c>
      <c r="B98" s="608"/>
      <c r="C98" s="585"/>
      <c r="D98" s="1617" t="s">
        <v>652</v>
      </c>
      <c r="E98" s="609"/>
      <c r="F98" s="610"/>
      <c r="G98" s="618"/>
      <c r="H98" s="619"/>
      <c r="I98" s="609"/>
      <c r="J98" s="1612"/>
      <c r="K98" s="1612"/>
      <c r="L98" s="623">
        <f t="shared" si="2"/>
        <v>0</v>
      </c>
      <c r="M98" s="617"/>
    </row>
    <row r="99" spans="1:13" ht="18" customHeight="1" x14ac:dyDescent="0.3">
      <c r="A99" s="597">
        <v>90</v>
      </c>
      <c r="B99" s="608"/>
      <c r="C99" s="585"/>
      <c r="D99" s="1617" t="s">
        <v>858</v>
      </c>
      <c r="E99" s="609"/>
      <c r="F99" s="610"/>
      <c r="G99" s="618"/>
      <c r="H99" s="619"/>
      <c r="I99" s="609"/>
      <c r="J99" s="1612">
        <f>SUM(J97:J98)</f>
        <v>1200</v>
      </c>
      <c r="K99" s="1612"/>
      <c r="L99" s="623">
        <f t="shared" si="2"/>
        <v>1200</v>
      </c>
      <c r="M99" s="617"/>
    </row>
    <row r="100" spans="1:13" ht="18" customHeight="1" x14ac:dyDescent="0.3">
      <c r="A100" s="597">
        <v>91</v>
      </c>
      <c r="B100" s="608"/>
      <c r="C100" s="585"/>
      <c r="D100" s="1617" t="s">
        <v>699</v>
      </c>
      <c r="E100" s="1612">
        <f>F100+G100+L104</f>
        <v>801</v>
      </c>
      <c r="F100" s="610"/>
      <c r="G100" s="618"/>
      <c r="H100" s="619"/>
      <c r="I100" s="609"/>
      <c r="J100" s="1612"/>
      <c r="K100" s="1612"/>
      <c r="L100" s="623"/>
      <c r="M100" s="617"/>
    </row>
    <row r="101" spans="1:13" ht="18" customHeight="1" x14ac:dyDescent="0.3">
      <c r="A101" s="597">
        <v>92</v>
      </c>
      <c r="B101" s="608"/>
      <c r="C101" s="585"/>
      <c r="D101" s="1616" t="s">
        <v>245</v>
      </c>
      <c r="E101" s="609"/>
      <c r="F101" s="610"/>
      <c r="G101" s="618"/>
      <c r="H101" s="619"/>
      <c r="I101" s="609"/>
      <c r="J101" s="1612">
        <v>801</v>
      </c>
      <c r="K101" s="1612"/>
      <c r="L101" s="623">
        <f t="shared" si="2"/>
        <v>801</v>
      </c>
      <c r="M101" s="617"/>
    </row>
    <row r="102" spans="1:13" ht="18" customHeight="1" x14ac:dyDescent="0.3">
      <c r="A102" s="597">
        <v>93</v>
      </c>
      <c r="B102" s="608"/>
      <c r="C102" s="585"/>
      <c r="D102" s="1617" t="s">
        <v>810</v>
      </c>
      <c r="E102" s="609"/>
      <c r="F102" s="610"/>
      <c r="G102" s="618"/>
      <c r="H102" s="619"/>
      <c r="I102" s="609"/>
      <c r="J102" s="1612">
        <v>801</v>
      </c>
      <c r="K102" s="1612"/>
      <c r="L102" s="623">
        <f t="shared" si="2"/>
        <v>801</v>
      </c>
      <c r="M102" s="617"/>
    </row>
    <row r="103" spans="1:13" ht="18" customHeight="1" x14ac:dyDescent="0.3">
      <c r="A103" s="597">
        <v>94</v>
      </c>
      <c r="B103" s="608"/>
      <c r="C103" s="585"/>
      <c r="D103" s="1617" t="s">
        <v>652</v>
      </c>
      <c r="E103" s="609"/>
      <c r="F103" s="610"/>
      <c r="G103" s="618"/>
      <c r="H103" s="619"/>
      <c r="I103" s="609"/>
      <c r="J103" s="1612"/>
      <c r="K103" s="1612"/>
      <c r="L103" s="623">
        <f t="shared" si="2"/>
        <v>0</v>
      </c>
      <c r="M103" s="617"/>
    </row>
    <row r="104" spans="1:13" ht="18" customHeight="1" x14ac:dyDescent="0.3">
      <c r="A104" s="597">
        <v>95</v>
      </c>
      <c r="B104" s="608"/>
      <c r="C104" s="585"/>
      <c r="D104" s="1617" t="s">
        <v>858</v>
      </c>
      <c r="E104" s="609"/>
      <c r="F104" s="610"/>
      <c r="G104" s="618"/>
      <c r="H104" s="619"/>
      <c r="I104" s="609"/>
      <c r="J104" s="1612">
        <f>SUM(J102:J103)</f>
        <v>801</v>
      </c>
      <c r="K104" s="1612"/>
      <c r="L104" s="623">
        <f t="shared" si="2"/>
        <v>801</v>
      </c>
      <c r="M104" s="617"/>
    </row>
    <row r="105" spans="1:13" ht="32.25" customHeight="1" x14ac:dyDescent="0.3">
      <c r="A105" s="597">
        <v>96</v>
      </c>
      <c r="B105" s="608"/>
      <c r="C105" s="585"/>
      <c r="D105" s="1617" t="s">
        <v>698</v>
      </c>
      <c r="E105" s="1612">
        <f>F105+G105+L109</f>
        <v>200</v>
      </c>
      <c r="F105" s="610"/>
      <c r="G105" s="618"/>
      <c r="H105" s="619"/>
      <c r="I105" s="609"/>
      <c r="J105" s="1612"/>
      <c r="K105" s="1612"/>
      <c r="L105" s="623"/>
      <c r="M105" s="617"/>
    </row>
    <row r="106" spans="1:13" ht="18" customHeight="1" x14ac:dyDescent="0.3">
      <c r="A106" s="597">
        <v>97</v>
      </c>
      <c r="B106" s="608"/>
      <c r="C106" s="585"/>
      <c r="D106" s="1616" t="s">
        <v>245</v>
      </c>
      <c r="E106" s="609"/>
      <c r="F106" s="610"/>
      <c r="G106" s="618"/>
      <c r="H106" s="619"/>
      <c r="I106" s="609"/>
      <c r="J106" s="1612"/>
      <c r="K106" s="1612">
        <v>200</v>
      </c>
      <c r="L106" s="623">
        <f t="shared" si="2"/>
        <v>200</v>
      </c>
      <c r="M106" s="617"/>
    </row>
    <row r="107" spans="1:13" ht="18" customHeight="1" x14ac:dyDescent="0.3">
      <c r="A107" s="597">
        <v>98</v>
      </c>
      <c r="B107" s="608"/>
      <c r="C107" s="585"/>
      <c r="D107" s="1617" t="s">
        <v>810</v>
      </c>
      <c r="E107" s="609"/>
      <c r="F107" s="610"/>
      <c r="G107" s="618"/>
      <c r="H107" s="619"/>
      <c r="I107" s="609"/>
      <c r="J107" s="1612"/>
      <c r="K107" s="1612">
        <v>200</v>
      </c>
      <c r="L107" s="623">
        <f t="shared" si="2"/>
        <v>200</v>
      </c>
      <c r="M107" s="617"/>
    </row>
    <row r="108" spans="1:13" ht="18" customHeight="1" x14ac:dyDescent="0.3">
      <c r="A108" s="597">
        <v>99</v>
      </c>
      <c r="B108" s="608"/>
      <c r="C108" s="585"/>
      <c r="D108" s="1617" t="s">
        <v>652</v>
      </c>
      <c r="E108" s="609"/>
      <c r="F108" s="610"/>
      <c r="G108" s="618"/>
      <c r="H108" s="619"/>
      <c r="I108" s="609"/>
      <c r="J108" s="1612"/>
      <c r="K108" s="1612"/>
      <c r="L108" s="623">
        <f t="shared" si="2"/>
        <v>0</v>
      </c>
      <c r="M108" s="617"/>
    </row>
    <row r="109" spans="1:13" ht="18" customHeight="1" x14ac:dyDescent="0.3">
      <c r="A109" s="597">
        <v>100</v>
      </c>
      <c r="B109" s="608"/>
      <c r="C109" s="585"/>
      <c r="D109" s="1617" t="s">
        <v>858</v>
      </c>
      <c r="E109" s="609"/>
      <c r="F109" s="610"/>
      <c r="G109" s="618"/>
      <c r="H109" s="619"/>
      <c r="I109" s="609"/>
      <c r="J109" s="1612"/>
      <c r="K109" s="1612">
        <f>SUM(K107:K108)</f>
        <v>200</v>
      </c>
      <c r="L109" s="623">
        <f t="shared" si="2"/>
        <v>200</v>
      </c>
      <c r="M109" s="617"/>
    </row>
    <row r="110" spans="1:13" ht="18" customHeight="1" x14ac:dyDescent="0.3">
      <c r="A110" s="597">
        <v>101</v>
      </c>
      <c r="B110" s="608"/>
      <c r="C110" s="585"/>
      <c r="D110" s="1617" t="s">
        <v>697</v>
      </c>
      <c r="E110" s="1612">
        <f>F110+G110+L114</f>
        <v>1500</v>
      </c>
      <c r="F110" s="610"/>
      <c r="G110" s="618"/>
      <c r="H110" s="619"/>
      <c r="I110" s="609"/>
      <c r="J110" s="1612"/>
      <c r="K110" s="1612"/>
      <c r="L110" s="623"/>
      <c r="M110" s="617"/>
    </row>
    <row r="111" spans="1:13" ht="18" customHeight="1" x14ac:dyDescent="0.3">
      <c r="A111" s="597">
        <v>102</v>
      </c>
      <c r="B111" s="608"/>
      <c r="C111" s="585"/>
      <c r="D111" s="1616" t="s">
        <v>245</v>
      </c>
      <c r="E111" s="609"/>
      <c r="F111" s="610"/>
      <c r="G111" s="618"/>
      <c r="H111" s="619"/>
      <c r="I111" s="609"/>
      <c r="J111" s="1612">
        <v>1500</v>
      </c>
      <c r="K111" s="1612"/>
      <c r="L111" s="623">
        <f t="shared" si="2"/>
        <v>1500</v>
      </c>
      <c r="M111" s="617"/>
    </row>
    <row r="112" spans="1:13" ht="18" customHeight="1" x14ac:dyDescent="0.3">
      <c r="A112" s="597">
        <v>103</v>
      </c>
      <c r="B112" s="608"/>
      <c r="C112" s="585"/>
      <c r="D112" s="1617" t="s">
        <v>810</v>
      </c>
      <c r="E112" s="609"/>
      <c r="F112" s="610"/>
      <c r="G112" s="618"/>
      <c r="H112" s="619"/>
      <c r="I112" s="609"/>
      <c r="J112" s="1612">
        <v>1500</v>
      </c>
      <c r="K112" s="1612"/>
      <c r="L112" s="623">
        <f t="shared" si="2"/>
        <v>1500</v>
      </c>
      <c r="M112" s="617"/>
    </row>
    <row r="113" spans="1:13" ht="18" customHeight="1" x14ac:dyDescent="0.3">
      <c r="A113" s="597">
        <v>104</v>
      </c>
      <c r="B113" s="608"/>
      <c r="C113" s="585"/>
      <c r="D113" s="1617" t="s">
        <v>652</v>
      </c>
      <c r="E113" s="609"/>
      <c r="F113" s="610"/>
      <c r="G113" s="618"/>
      <c r="H113" s="619"/>
      <c r="I113" s="609"/>
      <c r="J113" s="1612"/>
      <c r="K113" s="1612"/>
      <c r="L113" s="623">
        <f t="shared" si="2"/>
        <v>0</v>
      </c>
      <c r="M113" s="617"/>
    </row>
    <row r="114" spans="1:13" ht="18" customHeight="1" x14ac:dyDescent="0.3">
      <c r="A114" s="597">
        <v>105</v>
      </c>
      <c r="B114" s="608"/>
      <c r="C114" s="585"/>
      <c r="D114" s="1617" t="s">
        <v>858</v>
      </c>
      <c r="E114" s="609"/>
      <c r="F114" s="610"/>
      <c r="G114" s="618"/>
      <c r="H114" s="619"/>
      <c r="I114" s="609"/>
      <c r="J114" s="1612">
        <f>SUM(J112:J113)</f>
        <v>1500</v>
      </c>
      <c r="K114" s="1612"/>
      <c r="L114" s="623">
        <f t="shared" si="2"/>
        <v>1500</v>
      </c>
      <c r="M114" s="617"/>
    </row>
    <row r="115" spans="1:13" ht="30.75" customHeight="1" x14ac:dyDescent="0.3">
      <c r="A115" s="597">
        <v>106</v>
      </c>
      <c r="B115" s="608"/>
      <c r="C115" s="585"/>
      <c r="D115" s="1617" t="s">
        <v>691</v>
      </c>
      <c r="E115" s="609">
        <f>F115+G115+L118</f>
        <v>500</v>
      </c>
      <c r="F115" s="610"/>
      <c r="G115" s="618"/>
      <c r="H115" s="619"/>
      <c r="I115" s="609"/>
      <c r="J115" s="1612"/>
      <c r="K115" s="1612"/>
      <c r="L115" s="623"/>
      <c r="M115" s="617"/>
    </row>
    <row r="116" spans="1:13" ht="18" customHeight="1" x14ac:dyDescent="0.3">
      <c r="A116" s="597">
        <v>107</v>
      </c>
      <c r="B116" s="608"/>
      <c r="C116" s="585"/>
      <c r="D116" s="1617" t="s">
        <v>810</v>
      </c>
      <c r="E116" s="609"/>
      <c r="F116" s="610"/>
      <c r="G116" s="618"/>
      <c r="H116" s="619"/>
      <c r="I116" s="609"/>
      <c r="J116" s="1612">
        <v>500</v>
      </c>
      <c r="K116" s="1612"/>
      <c r="L116" s="623">
        <f t="shared" si="2"/>
        <v>500</v>
      </c>
      <c r="M116" s="617"/>
    </row>
    <row r="117" spans="1:13" ht="18" customHeight="1" x14ac:dyDescent="0.3">
      <c r="A117" s="597">
        <v>108</v>
      </c>
      <c r="B117" s="608"/>
      <c r="C117" s="585"/>
      <c r="D117" s="1617" t="s">
        <v>652</v>
      </c>
      <c r="E117" s="609"/>
      <c r="F117" s="610"/>
      <c r="G117" s="618"/>
      <c r="H117" s="619"/>
      <c r="I117" s="609"/>
      <c r="J117" s="1612"/>
      <c r="K117" s="1612"/>
      <c r="L117" s="623">
        <f t="shared" si="2"/>
        <v>0</v>
      </c>
      <c r="M117" s="617"/>
    </row>
    <row r="118" spans="1:13" ht="18" customHeight="1" x14ac:dyDescent="0.3">
      <c r="A118" s="597">
        <v>109</v>
      </c>
      <c r="B118" s="608"/>
      <c r="C118" s="585"/>
      <c r="D118" s="1617" t="s">
        <v>858</v>
      </c>
      <c r="E118" s="609"/>
      <c r="F118" s="610"/>
      <c r="G118" s="618"/>
      <c r="H118" s="619"/>
      <c r="I118" s="609"/>
      <c r="J118" s="1612">
        <f>SUM(J116:J117)</f>
        <v>500</v>
      </c>
      <c r="K118" s="1612"/>
      <c r="L118" s="623">
        <f t="shared" si="2"/>
        <v>500</v>
      </c>
      <c r="M118" s="617"/>
    </row>
    <row r="119" spans="1:13" ht="28.5" customHeight="1" x14ac:dyDescent="0.3">
      <c r="A119" s="597">
        <v>110</v>
      </c>
      <c r="B119" s="608"/>
      <c r="C119" s="585"/>
      <c r="D119" s="1617" t="s">
        <v>690</v>
      </c>
      <c r="E119" s="609">
        <f>F119+G119+L122</f>
        <v>1000</v>
      </c>
      <c r="F119" s="792"/>
      <c r="G119" s="1619"/>
      <c r="H119" s="1620"/>
      <c r="I119" s="792"/>
      <c r="J119" s="792"/>
      <c r="K119" s="792"/>
      <c r="L119" s="1619"/>
      <c r="M119" s="617"/>
    </row>
    <row r="120" spans="1:13" ht="18" customHeight="1" x14ac:dyDescent="0.3">
      <c r="A120" s="597">
        <v>111</v>
      </c>
      <c r="B120" s="608"/>
      <c r="C120" s="585"/>
      <c r="D120" s="1617" t="s">
        <v>810</v>
      </c>
      <c r="E120" s="609"/>
      <c r="F120" s="792"/>
      <c r="G120" s="1619"/>
      <c r="H120" s="1620"/>
      <c r="I120" s="792"/>
      <c r="J120" s="792"/>
      <c r="K120" s="1621">
        <v>1000</v>
      </c>
      <c r="L120" s="623">
        <f t="shared" si="2"/>
        <v>1000</v>
      </c>
      <c r="M120" s="617"/>
    </row>
    <row r="121" spans="1:13" ht="18" customHeight="1" x14ac:dyDescent="0.3">
      <c r="A121" s="597">
        <v>112</v>
      </c>
      <c r="B121" s="608"/>
      <c r="C121" s="585"/>
      <c r="D121" s="1617" t="s">
        <v>652</v>
      </c>
      <c r="E121" s="609"/>
      <c r="F121" s="610"/>
      <c r="G121" s="618"/>
      <c r="H121" s="619"/>
      <c r="I121" s="609"/>
      <c r="J121" s="1612"/>
      <c r="K121" s="1612"/>
      <c r="L121" s="623">
        <f t="shared" si="2"/>
        <v>0</v>
      </c>
      <c r="M121" s="617"/>
    </row>
    <row r="122" spans="1:13" ht="18" customHeight="1" x14ac:dyDescent="0.3">
      <c r="A122" s="597">
        <v>113</v>
      </c>
      <c r="B122" s="608"/>
      <c r="C122" s="585"/>
      <c r="D122" s="1617" t="s">
        <v>858</v>
      </c>
      <c r="E122" s="609"/>
      <c r="F122" s="610"/>
      <c r="G122" s="618"/>
      <c r="H122" s="619"/>
      <c r="I122" s="609"/>
      <c r="J122" s="1612"/>
      <c r="K122" s="1612">
        <f>SUM(K120:K121)</f>
        <v>1000</v>
      </c>
      <c r="L122" s="623">
        <f t="shared" si="2"/>
        <v>1000</v>
      </c>
      <c r="M122" s="617"/>
    </row>
    <row r="123" spans="1:13" ht="34.5" customHeight="1" x14ac:dyDescent="0.3">
      <c r="A123" s="597">
        <v>114</v>
      </c>
      <c r="B123" s="608"/>
      <c r="C123" s="585"/>
      <c r="D123" s="1617" t="s">
        <v>700</v>
      </c>
      <c r="E123" s="609">
        <f>F123+G123+L126</f>
        <v>250</v>
      </c>
      <c r="F123" s="610"/>
      <c r="G123" s="618"/>
      <c r="H123" s="619"/>
      <c r="I123" s="609"/>
      <c r="J123" s="1612"/>
      <c r="K123" s="1612"/>
      <c r="L123" s="623"/>
      <c r="M123" s="617"/>
    </row>
    <row r="124" spans="1:13" ht="18" customHeight="1" x14ac:dyDescent="0.3">
      <c r="A124" s="597">
        <v>115</v>
      </c>
      <c r="B124" s="608"/>
      <c r="C124" s="585"/>
      <c r="D124" s="1617" t="s">
        <v>810</v>
      </c>
      <c r="E124" s="609"/>
      <c r="F124" s="610"/>
      <c r="G124" s="618"/>
      <c r="H124" s="619"/>
      <c r="I124" s="609"/>
      <c r="J124" s="1612"/>
      <c r="K124" s="1612">
        <v>250</v>
      </c>
      <c r="L124" s="623">
        <f t="shared" si="2"/>
        <v>250</v>
      </c>
      <c r="M124" s="617"/>
    </row>
    <row r="125" spans="1:13" ht="18" customHeight="1" x14ac:dyDescent="0.3">
      <c r="A125" s="597">
        <v>116</v>
      </c>
      <c r="B125" s="608"/>
      <c r="C125" s="585"/>
      <c r="D125" s="1617" t="s">
        <v>652</v>
      </c>
      <c r="E125" s="609"/>
      <c r="F125" s="610"/>
      <c r="G125" s="618"/>
      <c r="H125" s="619"/>
      <c r="I125" s="609"/>
      <c r="J125" s="1612"/>
      <c r="K125" s="1612"/>
      <c r="L125" s="623">
        <f t="shared" si="2"/>
        <v>0</v>
      </c>
      <c r="M125" s="617"/>
    </row>
    <row r="126" spans="1:13" ht="18" customHeight="1" x14ac:dyDescent="0.3">
      <c r="A126" s="597">
        <v>117</v>
      </c>
      <c r="B126" s="608"/>
      <c r="C126" s="585"/>
      <c r="D126" s="1617" t="s">
        <v>858</v>
      </c>
      <c r="E126" s="609"/>
      <c r="F126" s="610"/>
      <c r="G126" s="618"/>
      <c r="H126" s="619"/>
      <c r="I126" s="609"/>
      <c r="J126" s="1612"/>
      <c r="K126" s="1612">
        <f>SUM(K124:K125)</f>
        <v>250</v>
      </c>
      <c r="L126" s="623">
        <f t="shared" si="2"/>
        <v>250</v>
      </c>
      <c r="M126" s="617"/>
    </row>
    <row r="127" spans="1:13" ht="32.25" customHeight="1" x14ac:dyDescent="0.3">
      <c r="A127" s="597">
        <v>118</v>
      </c>
      <c r="B127" s="608"/>
      <c r="C127" s="585"/>
      <c r="D127" s="1617" t="s">
        <v>701</v>
      </c>
      <c r="E127" s="609">
        <f>F127+G127+L130</f>
        <v>4000</v>
      </c>
      <c r="F127" s="610"/>
      <c r="G127" s="618"/>
      <c r="H127" s="619"/>
      <c r="I127" s="609"/>
      <c r="J127" s="1612"/>
      <c r="K127" s="1612"/>
      <c r="L127" s="623"/>
      <c r="M127" s="617"/>
    </row>
    <row r="128" spans="1:13" ht="18" customHeight="1" x14ac:dyDescent="0.3">
      <c r="A128" s="597">
        <v>119</v>
      </c>
      <c r="B128" s="608"/>
      <c r="C128" s="585"/>
      <c r="D128" s="1617" t="s">
        <v>810</v>
      </c>
      <c r="E128" s="609"/>
      <c r="F128" s="610"/>
      <c r="G128" s="618"/>
      <c r="H128" s="619"/>
      <c r="I128" s="609"/>
      <c r="J128" s="1612">
        <v>4000</v>
      </c>
      <c r="K128" s="1612"/>
      <c r="L128" s="623">
        <f t="shared" si="2"/>
        <v>4000</v>
      </c>
      <c r="M128" s="617"/>
    </row>
    <row r="129" spans="1:13" ht="18" customHeight="1" x14ac:dyDescent="0.3">
      <c r="A129" s="597">
        <v>120</v>
      </c>
      <c r="B129" s="608"/>
      <c r="C129" s="585"/>
      <c r="D129" s="1617" t="s">
        <v>652</v>
      </c>
      <c r="E129" s="609"/>
      <c r="F129" s="610"/>
      <c r="G129" s="618"/>
      <c r="H129" s="619"/>
      <c r="I129" s="609"/>
      <c r="J129" s="1612"/>
      <c r="K129" s="1612"/>
      <c r="L129" s="623">
        <f t="shared" si="2"/>
        <v>0</v>
      </c>
      <c r="M129" s="617"/>
    </row>
    <row r="130" spans="1:13" ht="18" customHeight="1" x14ac:dyDescent="0.3">
      <c r="A130" s="597">
        <v>121</v>
      </c>
      <c r="B130" s="608"/>
      <c r="C130" s="585"/>
      <c r="D130" s="1617" t="s">
        <v>858</v>
      </c>
      <c r="E130" s="609"/>
      <c r="F130" s="610"/>
      <c r="G130" s="618"/>
      <c r="H130" s="619"/>
      <c r="I130" s="609"/>
      <c r="J130" s="1612">
        <f>SUM(J128:J129)</f>
        <v>4000</v>
      </c>
      <c r="K130" s="1612"/>
      <c r="L130" s="623">
        <f t="shared" si="2"/>
        <v>4000</v>
      </c>
      <c r="M130" s="617"/>
    </row>
    <row r="131" spans="1:13" ht="18" customHeight="1" x14ac:dyDescent="0.3">
      <c r="A131" s="597">
        <v>122</v>
      </c>
      <c r="B131" s="608"/>
      <c r="C131" s="585"/>
      <c r="D131" s="1617" t="s">
        <v>702</v>
      </c>
      <c r="E131" s="609">
        <f>F131+G131+L134</f>
        <v>1064</v>
      </c>
      <c r="F131" s="610"/>
      <c r="G131" s="618"/>
      <c r="H131" s="619"/>
      <c r="I131" s="609"/>
      <c r="J131" s="1612"/>
      <c r="K131" s="1612"/>
      <c r="L131" s="623"/>
      <c r="M131" s="617"/>
    </row>
    <row r="132" spans="1:13" ht="18" customHeight="1" x14ac:dyDescent="0.3">
      <c r="A132" s="597">
        <v>123</v>
      </c>
      <c r="B132" s="608"/>
      <c r="C132" s="585"/>
      <c r="D132" s="1617" t="s">
        <v>810</v>
      </c>
      <c r="E132" s="609"/>
      <c r="F132" s="610"/>
      <c r="G132" s="618"/>
      <c r="H132" s="619"/>
      <c r="I132" s="609"/>
      <c r="J132" s="1612">
        <v>1064</v>
      </c>
      <c r="K132" s="1612"/>
      <c r="L132" s="623">
        <f t="shared" si="2"/>
        <v>1064</v>
      </c>
      <c r="M132" s="617"/>
    </row>
    <row r="133" spans="1:13" ht="18" customHeight="1" x14ac:dyDescent="0.3">
      <c r="A133" s="597">
        <v>124</v>
      </c>
      <c r="B133" s="608"/>
      <c r="C133" s="585"/>
      <c r="D133" s="1617" t="s">
        <v>652</v>
      </c>
      <c r="E133" s="609"/>
      <c r="F133" s="610"/>
      <c r="G133" s="618"/>
      <c r="H133" s="619"/>
      <c r="I133" s="609"/>
      <c r="J133" s="1612"/>
      <c r="K133" s="1612"/>
      <c r="L133" s="623">
        <f t="shared" si="2"/>
        <v>0</v>
      </c>
      <c r="M133" s="617"/>
    </row>
    <row r="134" spans="1:13" ht="18" customHeight="1" x14ac:dyDescent="0.3">
      <c r="A134" s="597">
        <v>125</v>
      </c>
      <c r="B134" s="608"/>
      <c r="C134" s="585"/>
      <c r="D134" s="1617" t="s">
        <v>858</v>
      </c>
      <c r="E134" s="609"/>
      <c r="F134" s="610"/>
      <c r="G134" s="618"/>
      <c r="H134" s="619"/>
      <c r="I134" s="609"/>
      <c r="J134" s="1612">
        <f>SUM(J132:J133)</f>
        <v>1064</v>
      </c>
      <c r="K134" s="1612"/>
      <c r="L134" s="623">
        <f t="shared" si="2"/>
        <v>1064</v>
      </c>
      <c r="M134" s="617"/>
    </row>
    <row r="135" spans="1:13" ht="18" customHeight="1" x14ac:dyDescent="0.3">
      <c r="A135" s="597">
        <v>126</v>
      </c>
      <c r="B135" s="608"/>
      <c r="C135" s="585"/>
      <c r="D135" s="1617" t="s">
        <v>705</v>
      </c>
      <c r="E135" s="609">
        <f>F135+G135+L138</f>
        <v>300</v>
      </c>
      <c r="F135" s="610"/>
      <c r="G135" s="618"/>
      <c r="H135" s="619"/>
      <c r="I135" s="609"/>
      <c r="J135" s="1612"/>
      <c r="K135" s="1612"/>
      <c r="L135" s="623"/>
      <c r="M135" s="617"/>
    </row>
    <row r="136" spans="1:13" ht="18" customHeight="1" x14ac:dyDescent="0.3">
      <c r="A136" s="597">
        <v>127</v>
      </c>
      <c r="B136" s="608"/>
      <c r="C136" s="585"/>
      <c r="D136" s="1617" t="s">
        <v>810</v>
      </c>
      <c r="E136" s="609"/>
      <c r="F136" s="610"/>
      <c r="G136" s="618"/>
      <c r="H136" s="619"/>
      <c r="I136" s="609"/>
      <c r="J136" s="1612"/>
      <c r="K136" s="1612">
        <v>300</v>
      </c>
      <c r="L136" s="623">
        <f t="shared" si="2"/>
        <v>300</v>
      </c>
      <c r="M136" s="617"/>
    </row>
    <row r="137" spans="1:13" ht="18" customHeight="1" x14ac:dyDescent="0.3">
      <c r="A137" s="597">
        <v>128</v>
      </c>
      <c r="B137" s="608"/>
      <c r="C137" s="585"/>
      <c r="D137" s="1617" t="s">
        <v>652</v>
      </c>
      <c r="E137" s="609"/>
      <c r="F137" s="610"/>
      <c r="G137" s="618"/>
      <c r="H137" s="619"/>
      <c r="I137" s="609"/>
      <c r="J137" s="1612"/>
      <c r="K137" s="1612"/>
      <c r="L137" s="623">
        <f t="shared" si="2"/>
        <v>0</v>
      </c>
      <c r="M137" s="617"/>
    </row>
    <row r="138" spans="1:13" ht="18" customHeight="1" x14ac:dyDescent="0.3">
      <c r="A138" s="597">
        <v>129</v>
      </c>
      <c r="B138" s="608"/>
      <c r="C138" s="585"/>
      <c r="D138" s="1617" t="s">
        <v>858</v>
      </c>
      <c r="E138" s="609"/>
      <c r="F138" s="610"/>
      <c r="G138" s="618"/>
      <c r="H138" s="619"/>
      <c r="I138" s="609"/>
      <c r="J138" s="1612"/>
      <c r="K138" s="1612">
        <f>SUM(K136:K137)</f>
        <v>300</v>
      </c>
      <c r="L138" s="623">
        <f t="shared" si="2"/>
        <v>300</v>
      </c>
      <c r="M138" s="617"/>
    </row>
    <row r="139" spans="1:13" ht="18" customHeight="1" x14ac:dyDescent="0.3">
      <c r="A139" s="597">
        <v>130</v>
      </c>
      <c r="B139" s="608"/>
      <c r="C139" s="585"/>
      <c r="D139" s="1617" t="s">
        <v>718</v>
      </c>
      <c r="E139" s="609">
        <f>F139+G139+L142</f>
        <v>500</v>
      </c>
      <c r="F139" s="610"/>
      <c r="G139" s="618"/>
      <c r="H139" s="619"/>
      <c r="I139" s="609"/>
      <c r="J139" s="1612"/>
      <c r="K139" s="1612"/>
      <c r="L139" s="623"/>
      <c r="M139" s="617"/>
    </row>
    <row r="140" spans="1:13" ht="18" customHeight="1" x14ac:dyDescent="0.3">
      <c r="A140" s="597">
        <v>131</v>
      </c>
      <c r="B140" s="608"/>
      <c r="C140" s="585"/>
      <c r="D140" s="1617" t="s">
        <v>810</v>
      </c>
      <c r="E140" s="609"/>
      <c r="F140" s="610"/>
      <c r="G140" s="618"/>
      <c r="H140" s="619"/>
      <c r="I140" s="609"/>
      <c r="J140" s="1612"/>
      <c r="K140" s="1612">
        <v>500</v>
      </c>
      <c r="L140" s="623">
        <f t="shared" si="2"/>
        <v>500</v>
      </c>
      <c r="M140" s="617"/>
    </row>
    <row r="141" spans="1:13" ht="18" customHeight="1" x14ac:dyDescent="0.3">
      <c r="A141" s="597">
        <v>132</v>
      </c>
      <c r="B141" s="608"/>
      <c r="C141" s="585"/>
      <c r="D141" s="1617" t="s">
        <v>652</v>
      </c>
      <c r="E141" s="609"/>
      <c r="F141" s="610"/>
      <c r="G141" s="618"/>
      <c r="H141" s="619"/>
      <c r="I141" s="609"/>
      <c r="J141" s="1612"/>
      <c r="K141" s="1612"/>
      <c r="L141" s="623">
        <f t="shared" si="2"/>
        <v>0</v>
      </c>
      <c r="M141" s="617"/>
    </row>
    <row r="142" spans="1:13" ht="18" customHeight="1" x14ac:dyDescent="0.3">
      <c r="A142" s="597">
        <v>133</v>
      </c>
      <c r="B142" s="608"/>
      <c r="C142" s="585"/>
      <c r="D142" s="1617" t="s">
        <v>858</v>
      </c>
      <c r="E142" s="609"/>
      <c r="F142" s="610"/>
      <c r="G142" s="618"/>
      <c r="H142" s="619"/>
      <c r="I142" s="609"/>
      <c r="J142" s="1612"/>
      <c r="K142" s="1612">
        <f>SUM(K140:K141)</f>
        <v>500</v>
      </c>
      <c r="L142" s="623">
        <f t="shared" si="2"/>
        <v>500</v>
      </c>
      <c r="M142" s="617"/>
    </row>
    <row r="143" spans="1:13" ht="18" customHeight="1" x14ac:dyDescent="0.3">
      <c r="A143" s="597">
        <v>134</v>
      </c>
      <c r="B143" s="608"/>
      <c r="C143" s="585"/>
      <c r="D143" s="1617" t="s">
        <v>1071</v>
      </c>
      <c r="E143" s="609"/>
      <c r="F143" s="610"/>
      <c r="G143" s="618"/>
      <c r="H143" s="619"/>
      <c r="I143" s="609"/>
      <c r="J143" s="1612"/>
      <c r="K143" s="1612"/>
      <c r="L143" s="623"/>
      <c r="M143" s="617"/>
    </row>
    <row r="144" spans="1:13" ht="18" customHeight="1" x14ac:dyDescent="0.3">
      <c r="A144" s="597">
        <v>135</v>
      </c>
      <c r="B144" s="608"/>
      <c r="C144" s="585"/>
      <c r="D144" s="1617" t="s">
        <v>897</v>
      </c>
      <c r="E144" s="609"/>
      <c r="F144" s="610"/>
      <c r="G144" s="618"/>
      <c r="H144" s="619"/>
      <c r="I144" s="609"/>
      <c r="J144" s="1612">
        <v>110</v>
      </c>
      <c r="K144" s="1612"/>
      <c r="L144" s="623">
        <f t="shared" si="2"/>
        <v>110</v>
      </c>
      <c r="M144" s="617"/>
    </row>
    <row r="145" spans="1:18" ht="18" customHeight="1" x14ac:dyDescent="0.3">
      <c r="A145" s="597">
        <v>136</v>
      </c>
      <c r="B145" s="608"/>
      <c r="C145" s="585"/>
      <c r="D145" s="1617" t="s">
        <v>858</v>
      </c>
      <c r="E145" s="609"/>
      <c r="F145" s="610"/>
      <c r="G145" s="618"/>
      <c r="H145" s="619"/>
      <c r="I145" s="609"/>
      <c r="J145" s="1612">
        <f>SUM(J144)</f>
        <v>110</v>
      </c>
      <c r="K145" s="1612"/>
      <c r="L145" s="623">
        <f t="shared" si="2"/>
        <v>110</v>
      </c>
      <c r="M145" s="617"/>
    </row>
    <row r="146" spans="1:18" ht="18" customHeight="1" x14ac:dyDescent="0.3">
      <c r="A146" s="597">
        <v>137</v>
      </c>
      <c r="B146" s="608"/>
      <c r="C146" s="585"/>
      <c r="D146" s="1617" t="s">
        <v>1076</v>
      </c>
      <c r="E146" s="609"/>
      <c r="F146" s="610"/>
      <c r="G146" s="618"/>
      <c r="H146" s="619"/>
      <c r="I146" s="609"/>
      <c r="J146" s="1612"/>
      <c r="K146" s="1612"/>
      <c r="L146" s="623"/>
      <c r="M146" s="617"/>
    </row>
    <row r="147" spans="1:18" ht="18" customHeight="1" x14ac:dyDescent="0.3">
      <c r="A147" s="597">
        <v>138</v>
      </c>
      <c r="B147" s="608"/>
      <c r="C147" s="585"/>
      <c r="D147" s="1617" t="s">
        <v>897</v>
      </c>
      <c r="E147" s="609"/>
      <c r="F147" s="610"/>
      <c r="G147" s="618"/>
      <c r="H147" s="619"/>
      <c r="I147" s="609"/>
      <c r="J147" s="1612">
        <v>110</v>
      </c>
      <c r="K147" s="1612"/>
      <c r="L147" s="623">
        <f t="shared" si="2"/>
        <v>110</v>
      </c>
      <c r="M147" s="617"/>
    </row>
    <row r="148" spans="1:18" ht="18" customHeight="1" x14ac:dyDescent="0.3">
      <c r="A148" s="597">
        <v>139</v>
      </c>
      <c r="B148" s="608"/>
      <c r="C148" s="585"/>
      <c r="D148" s="1617" t="s">
        <v>858</v>
      </c>
      <c r="E148" s="609"/>
      <c r="F148" s="610"/>
      <c r="G148" s="618"/>
      <c r="H148" s="619"/>
      <c r="I148" s="609"/>
      <c r="J148" s="1612">
        <f>SUM(J147)</f>
        <v>110</v>
      </c>
      <c r="K148" s="1612"/>
      <c r="L148" s="623">
        <f t="shared" si="2"/>
        <v>110</v>
      </c>
      <c r="M148" s="617"/>
    </row>
    <row r="149" spans="1:18" ht="22.15" customHeight="1" x14ac:dyDescent="0.3">
      <c r="A149" s="597">
        <v>140</v>
      </c>
      <c r="B149" s="608"/>
      <c r="C149" s="615">
        <v>41</v>
      </c>
      <c r="D149" s="1605" t="s">
        <v>387</v>
      </c>
      <c r="E149" s="609">
        <f>F149+G149+L153+M150</f>
        <v>43673</v>
      </c>
      <c r="F149" s="610">
        <v>459</v>
      </c>
      <c r="G149" s="618">
        <v>43214</v>
      </c>
      <c r="H149" s="619" t="s">
        <v>24</v>
      </c>
      <c r="I149" s="609"/>
      <c r="J149" s="609"/>
      <c r="K149" s="609"/>
      <c r="L149" s="620"/>
      <c r="M149" s="617"/>
    </row>
    <row r="150" spans="1:18" ht="18" customHeight="1" x14ac:dyDescent="0.3">
      <c r="A150" s="597">
        <v>141</v>
      </c>
      <c r="B150" s="608"/>
      <c r="C150" s="585"/>
      <c r="D150" s="1622" t="s">
        <v>245</v>
      </c>
      <c r="E150" s="609"/>
      <c r="F150" s="610"/>
      <c r="G150" s="618"/>
      <c r="H150" s="619"/>
      <c r="I150" s="609">
        <v>2588</v>
      </c>
      <c r="J150" s="609">
        <v>129</v>
      </c>
      <c r="K150" s="609"/>
      <c r="L150" s="620">
        <f t="shared" si="2"/>
        <v>2717</v>
      </c>
      <c r="M150" s="617"/>
    </row>
    <row r="151" spans="1:18" ht="18" customHeight="1" x14ac:dyDescent="0.3">
      <c r="A151" s="597">
        <v>142</v>
      </c>
      <c r="B151" s="608"/>
      <c r="C151" s="585"/>
      <c r="D151" s="1604" t="s">
        <v>810</v>
      </c>
      <c r="E151" s="609"/>
      <c r="F151" s="610"/>
      <c r="G151" s="618"/>
      <c r="H151" s="619"/>
      <c r="I151" s="609">
        <v>2588</v>
      </c>
      <c r="J151" s="609">
        <v>129</v>
      </c>
      <c r="K151" s="609"/>
      <c r="L151" s="620">
        <f t="shared" si="2"/>
        <v>2717</v>
      </c>
      <c r="M151" s="617"/>
    </row>
    <row r="152" spans="1:18" ht="18" customHeight="1" x14ac:dyDescent="0.3">
      <c r="A152" s="597">
        <v>143</v>
      </c>
      <c r="B152" s="608"/>
      <c r="C152" s="585"/>
      <c r="D152" s="910" t="s">
        <v>897</v>
      </c>
      <c r="E152" s="609"/>
      <c r="F152" s="610"/>
      <c r="G152" s="618"/>
      <c r="H152" s="619"/>
      <c r="I152" s="1612">
        <v>-2588</v>
      </c>
      <c r="J152" s="1612">
        <v>-129</v>
      </c>
      <c r="K152" s="1612"/>
      <c r="L152" s="623">
        <f t="shared" si="2"/>
        <v>-2717</v>
      </c>
      <c r="M152" s="617"/>
    </row>
    <row r="153" spans="1:18" ht="18" customHeight="1" x14ac:dyDescent="0.3">
      <c r="A153" s="597">
        <v>144</v>
      </c>
      <c r="B153" s="608"/>
      <c r="C153" s="585"/>
      <c r="D153" s="1146" t="s">
        <v>858</v>
      </c>
      <c r="E153" s="609"/>
      <c r="F153" s="610"/>
      <c r="G153" s="618"/>
      <c r="H153" s="619"/>
      <c r="I153" s="609">
        <f>SUM(I151:I152)</f>
        <v>0</v>
      </c>
      <c r="J153" s="609">
        <f>SUM(J151:J152)</f>
        <v>0</v>
      </c>
      <c r="K153" s="609"/>
      <c r="L153" s="620">
        <f t="shared" si="2"/>
        <v>0</v>
      </c>
      <c r="M153" s="617"/>
    </row>
    <row r="154" spans="1:18" ht="22.15" customHeight="1" x14ac:dyDescent="0.3">
      <c r="A154" s="597">
        <v>145</v>
      </c>
      <c r="B154" s="608"/>
      <c r="C154" s="615">
        <v>42</v>
      </c>
      <c r="D154" s="1605" t="s">
        <v>959</v>
      </c>
      <c r="E154" s="609"/>
      <c r="F154" s="610"/>
      <c r="G154" s="618"/>
      <c r="H154" s="619" t="s">
        <v>23</v>
      </c>
      <c r="I154" s="609"/>
      <c r="J154" s="609"/>
      <c r="K154" s="609"/>
      <c r="L154" s="620"/>
      <c r="M154" s="617"/>
    </row>
    <row r="155" spans="1:18" ht="18" customHeight="1" x14ac:dyDescent="0.3">
      <c r="A155" s="597">
        <v>146</v>
      </c>
      <c r="B155" s="608"/>
      <c r="C155" s="615"/>
      <c r="D155" s="910" t="s">
        <v>897</v>
      </c>
      <c r="E155" s="609"/>
      <c r="F155" s="610"/>
      <c r="G155" s="618"/>
      <c r="H155" s="619"/>
      <c r="I155" s="609"/>
      <c r="J155" s="609">
        <v>7000</v>
      </c>
      <c r="K155" s="609"/>
      <c r="L155" s="623">
        <f t="shared" si="2"/>
        <v>7000</v>
      </c>
      <c r="M155" s="617"/>
    </row>
    <row r="156" spans="1:18" ht="18" customHeight="1" x14ac:dyDescent="0.3">
      <c r="A156" s="597">
        <v>147</v>
      </c>
      <c r="B156" s="608"/>
      <c r="C156" s="615"/>
      <c r="D156" s="1146" t="s">
        <v>858</v>
      </c>
      <c r="E156" s="609"/>
      <c r="F156" s="610"/>
      <c r="G156" s="618"/>
      <c r="H156" s="619"/>
      <c r="I156" s="609"/>
      <c r="J156" s="609">
        <f>SUM(J155)</f>
        <v>7000</v>
      </c>
      <c r="K156" s="609"/>
      <c r="L156" s="620">
        <f t="shared" si="2"/>
        <v>7000</v>
      </c>
      <c r="M156" s="617"/>
    </row>
    <row r="157" spans="1:18" ht="22.15" customHeight="1" x14ac:dyDescent="0.3">
      <c r="A157" s="597">
        <v>148</v>
      </c>
      <c r="B157" s="608"/>
      <c r="C157" s="615">
        <v>43</v>
      </c>
      <c r="D157" s="1605" t="s">
        <v>390</v>
      </c>
      <c r="E157" s="609">
        <f>F157+G157+L161+M158</f>
        <v>3840000</v>
      </c>
      <c r="F157" s="610">
        <v>354544</v>
      </c>
      <c r="G157" s="618">
        <v>354544</v>
      </c>
      <c r="H157" s="619" t="s">
        <v>23</v>
      </c>
      <c r="I157" s="609"/>
      <c r="J157" s="609"/>
      <c r="K157" s="609"/>
      <c r="L157" s="620"/>
      <c r="M157" s="617"/>
    </row>
    <row r="158" spans="1:18" ht="18" customHeight="1" x14ac:dyDescent="0.3">
      <c r="A158" s="597">
        <v>149</v>
      </c>
      <c r="B158" s="608"/>
      <c r="C158" s="585"/>
      <c r="D158" s="1623" t="s">
        <v>245</v>
      </c>
      <c r="E158" s="609"/>
      <c r="F158" s="610"/>
      <c r="G158" s="618"/>
      <c r="H158" s="619"/>
      <c r="I158" s="609"/>
      <c r="J158" s="609"/>
      <c r="K158" s="609">
        <v>354544</v>
      </c>
      <c r="L158" s="620">
        <f t="shared" si="2"/>
        <v>354544</v>
      </c>
      <c r="M158" s="617">
        <v>2776368</v>
      </c>
    </row>
    <row r="159" spans="1:18" ht="18" customHeight="1" x14ac:dyDescent="0.3">
      <c r="A159" s="597">
        <v>150</v>
      </c>
      <c r="B159" s="1624"/>
      <c r="C159" s="585"/>
      <c r="D159" s="837" t="s">
        <v>810</v>
      </c>
      <c r="E159" s="609"/>
      <c r="F159" s="610"/>
      <c r="G159" s="618"/>
      <c r="H159" s="619"/>
      <c r="I159" s="609"/>
      <c r="J159" s="609"/>
      <c r="K159" s="609">
        <v>354544</v>
      </c>
      <c r="L159" s="620">
        <f t="shared" si="2"/>
        <v>354544</v>
      </c>
      <c r="M159" s="617"/>
      <c r="R159" s="179" t="s">
        <v>207</v>
      </c>
    </row>
    <row r="160" spans="1:18" ht="18" customHeight="1" x14ac:dyDescent="0.3">
      <c r="A160" s="597">
        <v>151</v>
      </c>
      <c r="B160" s="1624"/>
      <c r="C160" s="585"/>
      <c r="D160" s="910" t="s">
        <v>652</v>
      </c>
      <c r="E160" s="609"/>
      <c r="F160" s="610"/>
      <c r="G160" s="618"/>
      <c r="H160" s="619"/>
      <c r="I160" s="1612"/>
      <c r="J160" s="1612"/>
      <c r="K160" s="1612"/>
      <c r="L160" s="623">
        <f t="shared" si="2"/>
        <v>0</v>
      </c>
      <c r="M160" s="617"/>
    </row>
    <row r="161" spans="1:13" ht="18" customHeight="1" x14ac:dyDescent="0.3">
      <c r="A161" s="597">
        <v>152</v>
      </c>
      <c r="B161" s="1624"/>
      <c r="C161" s="585"/>
      <c r="D161" s="1146" t="s">
        <v>858</v>
      </c>
      <c r="E161" s="609"/>
      <c r="F161" s="610"/>
      <c r="G161" s="618"/>
      <c r="H161" s="619"/>
      <c r="I161" s="609"/>
      <c r="J161" s="609"/>
      <c r="K161" s="609">
        <f>SUM(K159:K160)</f>
        <v>354544</v>
      </c>
      <c r="L161" s="620">
        <f t="shared" si="2"/>
        <v>354544</v>
      </c>
      <c r="M161" s="617"/>
    </row>
    <row r="162" spans="1:13" ht="33" customHeight="1" x14ac:dyDescent="0.3">
      <c r="A162" s="597">
        <v>153</v>
      </c>
      <c r="B162" s="1624"/>
      <c r="C162" s="585">
        <v>48</v>
      </c>
      <c r="D162" s="1625" t="s">
        <v>646</v>
      </c>
      <c r="E162" s="609">
        <f>F162+G162+L166+M163</f>
        <v>38000</v>
      </c>
      <c r="F162" s="610"/>
      <c r="G162" s="1626">
        <v>14976</v>
      </c>
      <c r="H162" s="1603" t="s">
        <v>23</v>
      </c>
      <c r="I162" s="609"/>
      <c r="J162" s="609"/>
      <c r="K162" s="609"/>
      <c r="L162" s="613"/>
      <c r="M162" s="617"/>
    </row>
    <row r="163" spans="1:13" ht="18" customHeight="1" x14ac:dyDescent="0.3">
      <c r="A163" s="597">
        <v>154</v>
      </c>
      <c r="B163" s="1624"/>
      <c r="C163" s="585"/>
      <c r="D163" s="1622" t="s">
        <v>245</v>
      </c>
      <c r="E163" s="609"/>
      <c r="F163" s="610"/>
      <c r="G163" s="1626"/>
      <c r="H163" s="1603"/>
      <c r="I163" s="609"/>
      <c r="J163" s="609">
        <v>23024</v>
      </c>
      <c r="K163" s="609"/>
      <c r="L163" s="613">
        <f>SUM(I163:K163)</f>
        <v>23024</v>
      </c>
      <c r="M163" s="617"/>
    </row>
    <row r="164" spans="1:13" ht="18" customHeight="1" x14ac:dyDescent="0.3">
      <c r="A164" s="597">
        <v>155</v>
      </c>
      <c r="B164" s="1624"/>
      <c r="C164" s="585"/>
      <c r="D164" s="837" t="s">
        <v>810</v>
      </c>
      <c r="E164" s="609"/>
      <c r="F164" s="610"/>
      <c r="G164" s="1626"/>
      <c r="H164" s="1603"/>
      <c r="I164" s="609"/>
      <c r="J164" s="609">
        <v>23024</v>
      </c>
      <c r="K164" s="609"/>
      <c r="L164" s="613">
        <f>SUM(I164:K164)</f>
        <v>23024</v>
      </c>
      <c r="M164" s="617"/>
    </row>
    <row r="165" spans="1:13" ht="18" customHeight="1" x14ac:dyDescent="0.3">
      <c r="A165" s="597">
        <v>156</v>
      </c>
      <c r="B165" s="1624"/>
      <c r="C165" s="585"/>
      <c r="D165" s="910" t="s">
        <v>652</v>
      </c>
      <c r="E165" s="609"/>
      <c r="F165" s="610"/>
      <c r="G165" s="1626"/>
      <c r="H165" s="1603"/>
      <c r="I165" s="1612"/>
      <c r="J165" s="1612"/>
      <c r="K165" s="1612"/>
      <c r="L165" s="1214">
        <f t="shared" ref="L165:L166" si="3">SUM(I165:K165)</f>
        <v>0</v>
      </c>
      <c r="M165" s="617"/>
    </row>
    <row r="166" spans="1:13" ht="18" customHeight="1" x14ac:dyDescent="0.3">
      <c r="A166" s="597">
        <v>157</v>
      </c>
      <c r="B166" s="1624"/>
      <c r="C166" s="585"/>
      <c r="D166" s="1146" t="s">
        <v>858</v>
      </c>
      <c r="E166" s="609"/>
      <c r="F166" s="610"/>
      <c r="G166" s="1626"/>
      <c r="H166" s="1603"/>
      <c r="I166" s="609"/>
      <c r="J166" s="609">
        <f>SUM(J164:J165)</f>
        <v>23024</v>
      </c>
      <c r="K166" s="609"/>
      <c r="L166" s="613">
        <f t="shared" si="3"/>
        <v>23024</v>
      </c>
      <c r="M166" s="617"/>
    </row>
    <row r="167" spans="1:13" ht="22.15" customHeight="1" x14ac:dyDescent="0.3">
      <c r="A167" s="597">
        <v>158</v>
      </c>
      <c r="B167" s="1624"/>
      <c r="C167" s="615">
        <v>54</v>
      </c>
      <c r="D167" s="1627" t="s">
        <v>469</v>
      </c>
      <c r="E167" s="609">
        <f>F167+G167+L171+M168</f>
        <v>22760</v>
      </c>
      <c r="F167" s="610"/>
      <c r="G167" s="1626"/>
      <c r="H167" s="1603" t="s">
        <v>24</v>
      </c>
      <c r="I167" s="609"/>
      <c r="J167" s="609"/>
      <c r="K167" s="609"/>
      <c r="L167" s="613"/>
      <c r="M167" s="617"/>
    </row>
    <row r="168" spans="1:13" ht="18" customHeight="1" x14ac:dyDescent="0.3">
      <c r="A168" s="597">
        <v>159</v>
      </c>
      <c r="B168" s="1624"/>
      <c r="C168" s="585"/>
      <c r="D168" s="1622" t="s">
        <v>245</v>
      </c>
      <c r="E168" s="609"/>
      <c r="F168" s="610"/>
      <c r="G168" s="1626"/>
      <c r="H168" s="1603"/>
      <c r="I168" s="609"/>
      <c r="J168" s="609">
        <v>25000</v>
      </c>
      <c r="K168" s="609"/>
      <c r="L168" s="613">
        <f t="shared" si="2"/>
        <v>25000</v>
      </c>
      <c r="M168" s="617"/>
    </row>
    <row r="169" spans="1:13" ht="18" customHeight="1" x14ac:dyDescent="0.3">
      <c r="A169" s="597">
        <v>160</v>
      </c>
      <c r="B169" s="1624"/>
      <c r="C169" s="585"/>
      <c r="D169" s="837" t="s">
        <v>810</v>
      </c>
      <c r="E169" s="609"/>
      <c r="F169" s="610"/>
      <c r="G169" s="1626"/>
      <c r="H169" s="1603"/>
      <c r="I169" s="609"/>
      <c r="J169" s="609">
        <v>22760</v>
      </c>
      <c r="K169" s="609"/>
      <c r="L169" s="613">
        <f t="shared" si="2"/>
        <v>22760</v>
      </c>
      <c r="M169" s="617"/>
    </row>
    <row r="170" spans="1:13" ht="18" customHeight="1" x14ac:dyDescent="0.3">
      <c r="A170" s="597">
        <v>161</v>
      </c>
      <c r="B170" s="1624"/>
      <c r="C170" s="585"/>
      <c r="D170" s="910" t="s">
        <v>652</v>
      </c>
      <c r="E170" s="609"/>
      <c r="F170" s="610"/>
      <c r="G170" s="1626"/>
      <c r="H170" s="1603"/>
      <c r="I170" s="1612"/>
      <c r="J170" s="1612"/>
      <c r="K170" s="1612"/>
      <c r="L170" s="1214">
        <f t="shared" si="2"/>
        <v>0</v>
      </c>
      <c r="M170" s="617"/>
    </row>
    <row r="171" spans="1:13" ht="18" customHeight="1" x14ac:dyDescent="0.3">
      <c r="A171" s="597">
        <v>162</v>
      </c>
      <c r="B171" s="1624"/>
      <c r="C171" s="585"/>
      <c r="D171" s="1146" t="s">
        <v>858</v>
      </c>
      <c r="E171" s="609"/>
      <c r="F171" s="610"/>
      <c r="G171" s="1626"/>
      <c r="H171" s="1603"/>
      <c r="I171" s="609"/>
      <c r="J171" s="609">
        <f>SUM(J169:J170)</f>
        <v>22760</v>
      </c>
      <c r="K171" s="609"/>
      <c r="L171" s="613">
        <f t="shared" si="2"/>
        <v>22760</v>
      </c>
      <c r="M171" s="617"/>
    </row>
    <row r="172" spans="1:13" ht="32.25" customHeight="1" x14ac:dyDescent="0.3">
      <c r="A172" s="597">
        <v>163</v>
      </c>
      <c r="B172" s="1624"/>
      <c r="C172" s="585">
        <v>59</v>
      </c>
      <c r="D172" s="1627" t="s">
        <v>470</v>
      </c>
      <c r="E172" s="609">
        <f>F172+G172+L176+M173</f>
        <v>81200</v>
      </c>
      <c r="F172" s="610"/>
      <c r="G172" s="1626">
        <v>4318</v>
      </c>
      <c r="H172" s="1603" t="s">
        <v>24</v>
      </c>
      <c r="I172" s="609"/>
      <c r="J172" s="609"/>
      <c r="K172" s="609"/>
      <c r="L172" s="613"/>
      <c r="M172" s="617"/>
    </row>
    <row r="173" spans="1:13" ht="18" customHeight="1" x14ac:dyDescent="0.3">
      <c r="A173" s="597">
        <v>164</v>
      </c>
      <c r="B173" s="1624"/>
      <c r="C173" s="585"/>
      <c r="D173" s="1622" t="s">
        <v>245</v>
      </c>
      <c r="E173" s="609"/>
      <c r="F173" s="610"/>
      <c r="G173" s="1626"/>
      <c r="H173" s="1603"/>
      <c r="I173" s="609"/>
      <c r="J173" s="609">
        <v>87682</v>
      </c>
      <c r="K173" s="609"/>
      <c r="L173" s="613">
        <f t="shared" si="2"/>
        <v>87682</v>
      </c>
      <c r="M173" s="617"/>
    </row>
    <row r="174" spans="1:13" ht="18" customHeight="1" x14ac:dyDescent="0.3">
      <c r="A174" s="597">
        <v>165</v>
      </c>
      <c r="B174" s="1624"/>
      <c r="C174" s="585"/>
      <c r="D174" s="837" t="s">
        <v>810</v>
      </c>
      <c r="E174" s="609"/>
      <c r="F174" s="610"/>
      <c r="G174" s="1626"/>
      <c r="H174" s="1603"/>
      <c r="I174" s="609"/>
      <c r="J174" s="609">
        <v>87682</v>
      </c>
      <c r="K174" s="609"/>
      <c r="L174" s="613">
        <f t="shared" si="2"/>
        <v>87682</v>
      </c>
      <c r="M174" s="617"/>
    </row>
    <row r="175" spans="1:13" ht="18" customHeight="1" x14ac:dyDescent="0.3">
      <c r="A175" s="597">
        <v>166</v>
      </c>
      <c r="B175" s="1624"/>
      <c r="C175" s="585"/>
      <c r="D175" s="910" t="s">
        <v>897</v>
      </c>
      <c r="E175" s="609"/>
      <c r="F175" s="610"/>
      <c r="G175" s="1626"/>
      <c r="H175" s="1603"/>
      <c r="I175" s="1612"/>
      <c r="J175" s="1612">
        <v>-10800</v>
      </c>
      <c r="K175" s="1612"/>
      <c r="L175" s="1214">
        <f t="shared" si="2"/>
        <v>-10800</v>
      </c>
      <c r="M175" s="617"/>
    </row>
    <row r="176" spans="1:13" ht="18" customHeight="1" x14ac:dyDescent="0.3">
      <c r="A176" s="597">
        <v>167</v>
      </c>
      <c r="B176" s="1624"/>
      <c r="C176" s="585"/>
      <c r="D176" s="1146" t="s">
        <v>858</v>
      </c>
      <c r="E176" s="609"/>
      <c r="F176" s="610"/>
      <c r="G176" s="1626"/>
      <c r="H176" s="1603"/>
      <c r="I176" s="609"/>
      <c r="J176" s="609">
        <f>SUM(J174:J175)</f>
        <v>76882</v>
      </c>
      <c r="K176" s="609"/>
      <c r="L176" s="613">
        <f t="shared" si="2"/>
        <v>76882</v>
      </c>
      <c r="M176" s="617"/>
    </row>
    <row r="177" spans="1:13" ht="22.15" customHeight="1" x14ac:dyDescent="0.3">
      <c r="A177" s="597">
        <v>168</v>
      </c>
      <c r="B177" s="1624"/>
      <c r="C177" s="615">
        <v>67</v>
      </c>
      <c r="D177" s="1627" t="s">
        <v>830</v>
      </c>
      <c r="E177" s="609">
        <f>F177+G177+L181+M178</f>
        <v>28500</v>
      </c>
      <c r="F177" s="610"/>
      <c r="G177" s="1626">
        <v>4001</v>
      </c>
      <c r="H177" s="1603" t="s">
        <v>24</v>
      </c>
      <c r="I177" s="609"/>
      <c r="J177" s="609"/>
      <c r="K177" s="609"/>
      <c r="L177" s="613"/>
      <c r="M177" s="617"/>
    </row>
    <row r="178" spans="1:13" ht="18" customHeight="1" x14ac:dyDescent="0.3">
      <c r="A178" s="597">
        <v>169</v>
      </c>
      <c r="B178" s="1624"/>
      <c r="C178" s="585"/>
      <c r="D178" s="1622" t="s">
        <v>245</v>
      </c>
      <c r="E178" s="609"/>
      <c r="F178" s="610"/>
      <c r="G178" s="1626"/>
      <c r="H178" s="1603"/>
      <c r="I178" s="609"/>
      <c r="J178" s="609">
        <v>13499</v>
      </c>
      <c r="K178" s="609"/>
      <c r="L178" s="613">
        <f t="shared" si="2"/>
        <v>13499</v>
      </c>
      <c r="M178" s="617"/>
    </row>
    <row r="179" spans="1:13" ht="18" customHeight="1" x14ac:dyDescent="0.3">
      <c r="A179" s="597">
        <v>170</v>
      </c>
      <c r="B179" s="1624"/>
      <c r="C179" s="585"/>
      <c r="D179" s="837" t="s">
        <v>810</v>
      </c>
      <c r="E179" s="609"/>
      <c r="F179" s="610"/>
      <c r="G179" s="1626"/>
      <c r="H179" s="1603"/>
      <c r="I179" s="609"/>
      <c r="J179" s="609">
        <v>24499</v>
      </c>
      <c r="K179" s="609"/>
      <c r="L179" s="613">
        <f t="shared" si="2"/>
        <v>24499</v>
      </c>
      <c r="M179" s="617"/>
    </row>
    <row r="180" spans="1:13" ht="18" customHeight="1" x14ac:dyDescent="0.3">
      <c r="A180" s="597">
        <v>171</v>
      </c>
      <c r="B180" s="1624"/>
      <c r="C180" s="585"/>
      <c r="D180" s="910" t="s">
        <v>652</v>
      </c>
      <c r="E180" s="609"/>
      <c r="F180" s="610"/>
      <c r="G180" s="1626"/>
      <c r="H180" s="1603"/>
      <c r="I180" s="1612"/>
      <c r="J180" s="1612"/>
      <c r="K180" s="1612"/>
      <c r="L180" s="1214">
        <f t="shared" si="2"/>
        <v>0</v>
      </c>
      <c r="M180" s="617"/>
    </row>
    <row r="181" spans="1:13" ht="18" customHeight="1" x14ac:dyDescent="0.3">
      <c r="A181" s="597">
        <v>172</v>
      </c>
      <c r="B181" s="1624"/>
      <c r="C181" s="585"/>
      <c r="D181" s="1146" t="s">
        <v>858</v>
      </c>
      <c r="E181" s="609"/>
      <c r="F181" s="610"/>
      <c r="G181" s="1626"/>
      <c r="H181" s="1603"/>
      <c r="I181" s="609"/>
      <c r="J181" s="609">
        <f>SUM(J179:J180)</f>
        <v>24499</v>
      </c>
      <c r="K181" s="609"/>
      <c r="L181" s="613">
        <f t="shared" si="2"/>
        <v>24499</v>
      </c>
      <c r="M181" s="617"/>
    </row>
    <row r="182" spans="1:13" ht="22.15" customHeight="1" x14ac:dyDescent="0.3">
      <c r="A182" s="597">
        <v>173</v>
      </c>
      <c r="B182" s="1624"/>
      <c r="C182" s="615">
        <v>68</v>
      </c>
      <c r="D182" s="1627" t="s">
        <v>471</v>
      </c>
      <c r="E182" s="609">
        <f>F182+G182+L186+M183</f>
        <v>0</v>
      </c>
      <c r="F182" s="610"/>
      <c r="G182" s="1626"/>
      <c r="H182" s="1603" t="s">
        <v>24</v>
      </c>
      <c r="I182" s="609"/>
      <c r="J182" s="609"/>
      <c r="K182" s="609"/>
      <c r="L182" s="613"/>
      <c r="M182" s="617"/>
    </row>
    <row r="183" spans="1:13" ht="18" customHeight="1" x14ac:dyDescent="0.3">
      <c r="A183" s="597">
        <v>174</v>
      </c>
      <c r="B183" s="1624"/>
      <c r="C183" s="585"/>
      <c r="D183" s="1622" t="s">
        <v>245</v>
      </c>
      <c r="E183" s="609"/>
      <c r="F183" s="610"/>
      <c r="G183" s="1626"/>
      <c r="H183" s="1603"/>
      <c r="I183" s="609">
        <v>1525</v>
      </c>
      <c r="J183" s="609">
        <v>11550</v>
      </c>
      <c r="K183" s="609"/>
      <c r="L183" s="613">
        <f t="shared" si="2"/>
        <v>13075</v>
      </c>
      <c r="M183" s="617"/>
    </row>
    <row r="184" spans="1:13" ht="18" customHeight="1" x14ac:dyDescent="0.3">
      <c r="A184" s="597">
        <v>175</v>
      </c>
      <c r="B184" s="1624"/>
      <c r="C184" s="585"/>
      <c r="D184" s="837" t="s">
        <v>810</v>
      </c>
      <c r="E184" s="609"/>
      <c r="F184" s="610"/>
      <c r="G184" s="1626"/>
      <c r="H184" s="1603"/>
      <c r="I184" s="609">
        <v>0</v>
      </c>
      <c r="J184" s="609">
        <v>0</v>
      </c>
      <c r="K184" s="609"/>
      <c r="L184" s="613">
        <f t="shared" si="2"/>
        <v>0</v>
      </c>
      <c r="M184" s="617"/>
    </row>
    <row r="185" spans="1:13" ht="18" customHeight="1" x14ac:dyDescent="0.3">
      <c r="A185" s="597">
        <v>176</v>
      </c>
      <c r="B185" s="1624"/>
      <c r="C185" s="585"/>
      <c r="D185" s="910" t="s">
        <v>652</v>
      </c>
      <c r="E185" s="609"/>
      <c r="F185" s="610"/>
      <c r="G185" s="1626"/>
      <c r="H185" s="1603"/>
      <c r="I185" s="1612"/>
      <c r="J185" s="1612"/>
      <c r="K185" s="1612"/>
      <c r="L185" s="1214">
        <f t="shared" si="2"/>
        <v>0</v>
      </c>
      <c r="M185" s="617"/>
    </row>
    <row r="186" spans="1:13" ht="18" customHeight="1" x14ac:dyDescent="0.3">
      <c r="A186" s="597">
        <v>177</v>
      </c>
      <c r="B186" s="1624"/>
      <c r="C186" s="585"/>
      <c r="D186" s="1146" t="s">
        <v>858</v>
      </c>
      <c r="E186" s="609"/>
      <c r="F186" s="610"/>
      <c r="G186" s="1626"/>
      <c r="H186" s="1603"/>
      <c r="I186" s="609">
        <f>SUM(I184:I185)</f>
        <v>0</v>
      </c>
      <c r="J186" s="609">
        <f>SUM(J184:J185)</f>
        <v>0</v>
      </c>
      <c r="K186" s="609"/>
      <c r="L186" s="613">
        <f t="shared" si="2"/>
        <v>0</v>
      </c>
      <c r="M186" s="617"/>
    </row>
    <row r="187" spans="1:13" ht="22.15" customHeight="1" x14ac:dyDescent="0.3">
      <c r="A187" s="597">
        <v>178</v>
      </c>
      <c r="B187" s="1624"/>
      <c r="C187" s="615">
        <v>82</v>
      </c>
      <c r="D187" s="1627" t="s">
        <v>472</v>
      </c>
      <c r="E187" s="609">
        <f>F187+G187+L191+M188</f>
        <v>8200</v>
      </c>
      <c r="F187" s="610"/>
      <c r="G187" s="1626">
        <v>1461</v>
      </c>
      <c r="H187" s="1603" t="s">
        <v>24</v>
      </c>
      <c r="I187" s="609"/>
      <c r="J187" s="609"/>
      <c r="K187" s="609"/>
      <c r="L187" s="613"/>
      <c r="M187" s="617"/>
    </row>
    <row r="188" spans="1:13" ht="18" customHeight="1" x14ac:dyDescent="0.3">
      <c r="A188" s="597">
        <v>179</v>
      </c>
      <c r="B188" s="1624"/>
      <c r="C188" s="585"/>
      <c r="D188" s="1622" t="s">
        <v>245</v>
      </c>
      <c r="E188" s="609"/>
      <c r="F188" s="610"/>
      <c r="G188" s="1626"/>
      <c r="H188" s="1603"/>
      <c r="I188" s="609"/>
      <c r="J188" s="609">
        <v>6739</v>
      </c>
      <c r="K188" s="609"/>
      <c r="L188" s="613">
        <f t="shared" si="2"/>
        <v>6739</v>
      </c>
      <c r="M188" s="617"/>
    </row>
    <row r="189" spans="1:13" ht="18" customHeight="1" x14ac:dyDescent="0.3">
      <c r="A189" s="597">
        <v>180</v>
      </c>
      <c r="B189" s="1624"/>
      <c r="C189" s="585"/>
      <c r="D189" s="837" t="s">
        <v>810</v>
      </c>
      <c r="E189" s="609"/>
      <c r="F189" s="610"/>
      <c r="G189" s="1626"/>
      <c r="H189" s="1603"/>
      <c r="I189" s="609"/>
      <c r="J189" s="609">
        <v>6739</v>
      </c>
      <c r="K189" s="609"/>
      <c r="L189" s="613">
        <f t="shared" si="2"/>
        <v>6739</v>
      </c>
      <c r="M189" s="617"/>
    </row>
    <row r="190" spans="1:13" ht="18" customHeight="1" x14ac:dyDescent="0.3">
      <c r="A190" s="597">
        <v>181</v>
      </c>
      <c r="B190" s="1624"/>
      <c r="C190" s="585"/>
      <c r="D190" s="910" t="s">
        <v>652</v>
      </c>
      <c r="E190" s="609"/>
      <c r="F190" s="610"/>
      <c r="G190" s="1626"/>
      <c r="H190" s="1603"/>
      <c r="I190" s="1612"/>
      <c r="J190" s="1612"/>
      <c r="K190" s="1612"/>
      <c r="L190" s="1214">
        <f t="shared" si="2"/>
        <v>0</v>
      </c>
      <c r="M190" s="617"/>
    </row>
    <row r="191" spans="1:13" ht="18" customHeight="1" x14ac:dyDescent="0.3">
      <c r="A191" s="597">
        <v>182</v>
      </c>
      <c r="B191" s="1624"/>
      <c r="C191" s="585"/>
      <c r="D191" s="1146" t="s">
        <v>858</v>
      </c>
      <c r="E191" s="609"/>
      <c r="F191" s="610"/>
      <c r="G191" s="1626"/>
      <c r="H191" s="1603"/>
      <c r="I191" s="609"/>
      <c r="J191" s="609">
        <f>SUM(J189:J190)</f>
        <v>6739</v>
      </c>
      <c r="K191" s="609"/>
      <c r="L191" s="613">
        <f t="shared" si="2"/>
        <v>6739</v>
      </c>
      <c r="M191" s="617"/>
    </row>
    <row r="192" spans="1:13" ht="33" x14ac:dyDescent="0.3">
      <c r="A192" s="597">
        <v>183</v>
      </c>
      <c r="B192" s="1624"/>
      <c r="C192" s="585">
        <v>83</v>
      </c>
      <c r="D192" s="1627" t="s">
        <v>473</v>
      </c>
      <c r="E192" s="609">
        <f>F192+G192+L196+M193</f>
        <v>826</v>
      </c>
      <c r="F192" s="610"/>
      <c r="G192" s="1626">
        <v>826</v>
      </c>
      <c r="H192" s="1603" t="s">
        <v>24</v>
      </c>
      <c r="I192" s="609"/>
      <c r="J192" s="609"/>
      <c r="K192" s="609"/>
      <c r="L192" s="613"/>
      <c r="M192" s="617"/>
    </row>
    <row r="193" spans="1:13" ht="18" customHeight="1" x14ac:dyDescent="0.3">
      <c r="A193" s="597">
        <v>184</v>
      </c>
      <c r="B193" s="1624"/>
      <c r="C193" s="585"/>
      <c r="D193" s="1622" t="s">
        <v>245</v>
      </c>
      <c r="E193" s="609"/>
      <c r="F193" s="610"/>
      <c r="G193" s="1626"/>
      <c r="H193" s="1603"/>
      <c r="I193" s="609"/>
      <c r="J193" s="609">
        <v>1174</v>
      </c>
      <c r="K193" s="609"/>
      <c r="L193" s="613">
        <f t="shared" si="2"/>
        <v>1174</v>
      </c>
      <c r="M193" s="617"/>
    </row>
    <row r="194" spans="1:13" ht="18" customHeight="1" x14ac:dyDescent="0.3">
      <c r="A194" s="597">
        <v>185</v>
      </c>
      <c r="B194" s="1624"/>
      <c r="C194" s="585"/>
      <c r="D194" s="837" t="s">
        <v>810</v>
      </c>
      <c r="E194" s="609"/>
      <c r="F194" s="610"/>
      <c r="G194" s="1626"/>
      <c r="H194" s="1603"/>
      <c r="I194" s="609"/>
      <c r="J194" s="609">
        <v>0</v>
      </c>
      <c r="K194" s="609"/>
      <c r="L194" s="613">
        <f t="shared" si="2"/>
        <v>0</v>
      </c>
      <c r="M194" s="617"/>
    </row>
    <row r="195" spans="1:13" ht="18" customHeight="1" x14ac:dyDescent="0.3">
      <c r="A195" s="597">
        <v>186</v>
      </c>
      <c r="B195" s="1624"/>
      <c r="C195" s="585"/>
      <c r="D195" s="910" t="s">
        <v>652</v>
      </c>
      <c r="E195" s="609"/>
      <c r="F195" s="610"/>
      <c r="G195" s="1626"/>
      <c r="H195" s="1603"/>
      <c r="I195" s="1612"/>
      <c r="J195" s="1612"/>
      <c r="K195" s="1612"/>
      <c r="L195" s="1214">
        <f t="shared" si="2"/>
        <v>0</v>
      </c>
      <c r="M195" s="617"/>
    </row>
    <row r="196" spans="1:13" ht="18" customHeight="1" x14ac:dyDescent="0.3">
      <c r="A196" s="597">
        <v>187</v>
      </c>
      <c r="B196" s="1624"/>
      <c r="C196" s="585"/>
      <c r="D196" s="1146" t="s">
        <v>858</v>
      </c>
      <c r="E196" s="609"/>
      <c r="F196" s="610"/>
      <c r="G196" s="1626"/>
      <c r="H196" s="1603"/>
      <c r="I196" s="609"/>
      <c r="J196" s="609">
        <f>SUM(J194:J195)</f>
        <v>0</v>
      </c>
      <c r="K196" s="609"/>
      <c r="L196" s="613">
        <f t="shared" si="2"/>
        <v>0</v>
      </c>
      <c r="M196" s="617"/>
    </row>
    <row r="197" spans="1:13" ht="22.15" customHeight="1" x14ac:dyDescent="0.3">
      <c r="A197" s="597">
        <v>188</v>
      </c>
      <c r="B197" s="1624"/>
      <c r="C197" s="615">
        <v>88</v>
      </c>
      <c r="D197" s="1627" t="s">
        <v>474</v>
      </c>
      <c r="E197" s="609">
        <f>F197+G197+L201+M198</f>
        <v>4700</v>
      </c>
      <c r="F197" s="610"/>
      <c r="G197" s="1626"/>
      <c r="H197" s="1603" t="s">
        <v>24</v>
      </c>
      <c r="I197" s="609"/>
      <c r="J197" s="609"/>
      <c r="K197" s="609"/>
      <c r="L197" s="613"/>
      <c r="M197" s="617"/>
    </row>
    <row r="198" spans="1:13" ht="18" customHeight="1" x14ac:dyDescent="0.3">
      <c r="A198" s="597">
        <v>189</v>
      </c>
      <c r="B198" s="1624"/>
      <c r="C198" s="585"/>
      <c r="D198" s="1622" t="s">
        <v>245</v>
      </c>
      <c r="E198" s="609"/>
      <c r="F198" s="610"/>
      <c r="G198" s="1626"/>
      <c r="H198" s="1603"/>
      <c r="I198" s="609">
        <v>700</v>
      </c>
      <c r="J198" s="609">
        <v>4000</v>
      </c>
      <c r="K198" s="609"/>
      <c r="L198" s="613">
        <f t="shared" si="2"/>
        <v>4700</v>
      </c>
      <c r="M198" s="617"/>
    </row>
    <row r="199" spans="1:13" ht="18" customHeight="1" x14ac:dyDescent="0.3">
      <c r="A199" s="597">
        <v>190</v>
      </c>
      <c r="B199" s="1624"/>
      <c r="C199" s="585"/>
      <c r="D199" s="837" t="s">
        <v>810</v>
      </c>
      <c r="E199" s="609"/>
      <c r="F199" s="610"/>
      <c r="G199" s="1626"/>
      <c r="H199" s="1603"/>
      <c r="I199" s="609">
        <v>700</v>
      </c>
      <c r="J199" s="609">
        <v>4000</v>
      </c>
      <c r="K199" s="609"/>
      <c r="L199" s="613">
        <f t="shared" si="2"/>
        <v>4700</v>
      </c>
      <c r="M199" s="617"/>
    </row>
    <row r="200" spans="1:13" ht="18" customHeight="1" x14ac:dyDescent="0.3">
      <c r="A200" s="597">
        <v>191</v>
      </c>
      <c r="B200" s="1624"/>
      <c r="C200" s="585"/>
      <c r="D200" s="910" t="s">
        <v>652</v>
      </c>
      <c r="E200" s="609"/>
      <c r="F200" s="610"/>
      <c r="G200" s="1626"/>
      <c r="H200" s="1603"/>
      <c r="I200" s="1612"/>
      <c r="J200" s="1612"/>
      <c r="K200" s="1612"/>
      <c r="L200" s="1214">
        <f t="shared" si="2"/>
        <v>0</v>
      </c>
      <c r="M200" s="617"/>
    </row>
    <row r="201" spans="1:13" ht="18" customHeight="1" x14ac:dyDescent="0.3">
      <c r="A201" s="597">
        <v>192</v>
      </c>
      <c r="B201" s="1624"/>
      <c r="C201" s="585"/>
      <c r="D201" s="1146" t="s">
        <v>858</v>
      </c>
      <c r="E201" s="609"/>
      <c r="F201" s="610"/>
      <c r="G201" s="1626"/>
      <c r="H201" s="1603"/>
      <c r="I201" s="609">
        <f>SUM(I199:I200)</f>
        <v>700</v>
      </c>
      <c r="J201" s="609">
        <f>SUM(J199:J200)</f>
        <v>4000</v>
      </c>
      <c r="K201" s="609"/>
      <c r="L201" s="613">
        <f t="shared" si="2"/>
        <v>4700</v>
      </c>
      <c r="M201" s="617"/>
    </row>
    <row r="202" spans="1:13" ht="22.15" customHeight="1" x14ac:dyDescent="0.3">
      <c r="A202" s="597">
        <v>193</v>
      </c>
      <c r="B202" s="1624"/>
      <c r="C202" s="615">
        <v>89</v>
      </c>
      <c r="D202" s="1627" t="s">
        <v>475</v>
      </c>
      <c r="E202" s="609">
        <f>F202+G202+L206+M203</f>
        <v>15000</v>
      </c>
      <c r="F202" s="610"/>
      <c r="G202" s="1626">
        <v>7953</v>
      </c>
      <c r="H202" s="1603" t="s">
        <v>24</v>
      </c>
      <c r="I202" s="609"/>
      <c r="J202" s="609"/>
      <c r="K202" s="609"/>
      <c r="L202" s="613"/>
      <c r="M202" s="617"/>
    </row>
    <row r="203" spans="1:13" ht="18" customHeight="1" x14ac:dyDescent="0.3">
      <c r="A203" s="597">
        <v>194</v>
      </c>
      <c r="B203" s="1624"/>
      <c r="C203" s="585"/>
      <c r="D203" s="1622" t="s">
        <v>245</v>
      </c>
      <c r="E203" s="609"/>
      <c r="F203" s="610"/>
      <c r="G203" s="1626"/>
      <c r="H203" s="1603"/>
      <c r="I203" s="609">
        <v>1525</v>
      </c>
      <c r="J203" s="609">
        <v>5522</v>
      </c>
      <c r="K203" s="609"/>
      <c r="L203" s="613">
        <f t="shared" si="2"/>
        <v>7047</v>
      </c>
      <c r="M203" s="617"/>
    </row>
    <row r="204" spans="1:13" ht="18" customHeight="1" x14ac:dyDescent="0.3">
      <c r="A204" s="597">
        <v>195</v>
      </c>
      <c r="B204" s="1624"/>
      <c r="C204" s="585"/>
      <c r="D204" s="1146" t="s">
        <v>810</v>
      </c>
      <c r="E204" s="609"/>
      <c r="F204" s="610"/>
      <c r="G204" s="1626"/>
      <c r="H204" s="1603"/>
      <c r="I204" s="609">
        <v>1525</v>
      </c>
      <c r="J204" s="609">
        <v>5522</v>
      </c>
      <c r="K204" s="609"/>
      <c r="L204" s="613">
        <f t="shared" si="2"/>
        <v>7047</v>
      </c>
      <c r="M204" s="617"/>
    </row>
    <row r="205" spans="1:13" ht="18" customHeight="1" x14ac:dyDescent="0.3">
      <c r="A205" s="597">
        <v>196</v>
      </c>
      <c r="B205" s="1624"/>
      <c r="C205" s="585"/>
      <c r="D205" s="910" t="s">
        <v>652</v>
      </c>
      <c r="E205" s="609"/>
      <c r="F205" s="610"/>
      <c r="G205" s="1626"/>
      <c r="H205" s="1603"/>
      <c r="I205" s="1612"/>
      <c r="J205" s="1612"/>
      <c r="K205" s="1612"/>
      <c r="L205" s="1214">
        <f t="shared" si="2"/>
        <v>0</v>
      </c>
      <c r="M205" s="617"/>
    </row>
    <row r="206" spans="1:13" ht="18" customHeight="1" x14ac:dyDescent="0.3">
      <c r="A206" s="597">
        <v>197</v>
      </c>
      <c r="B206" s="1624"/>
      <c r="C206" s="585"/>
      <c r="D206" s="1146" t="s">
        <v>858</v>
      </c>
      <c r="E206" s="609"/>
      <c r="F206" s="610"/>
      <c r="G206" s="1626"/>
      <c r="H206" s="1603"/>
      <c r="I206" s="609">
        <f>SUM(I204:I205)</f>
        <v>1525</v>
      </c>
      <c r="J206" s="609">
        <f>SUM(J204:J205)</f>
        <v>5522</v>
      </c>
      <c r="K206" s="609"/>
      <c r="L206" s="613">
        <f t="shared" si="2"/>
        <v>7047</v>
      </c>
      <c r="M206" s="617"/>
    </row>
    <row r="207" spans="1:13" ht="22.5" customHeight="1" x14ac:dyDescent="0.3">
      <c r="A207" s="597">
        <v>198</v>
      </c>
      <c r="B207" s="1624"/>
      <c r="C207" s="615">
        <v>90</v>
      </c>
      <c r="D207" s="1627" t="s">
        <v>439</v>
      </c>
      <c r="E207" s="609">
        <f>F207+G207+L211+M208</f>
        <v>11100</v>
      </c>
      <c r="F207" s="610">
        <v>4000</v>
      </c>
      <c r="G207" s="1626">
        <v>3600</v>
      </c>
      <c r="H207" s="1603"/>
      <c r="I207" s="609"/>
      <c r="J207" s="609"/>
      <c r="K207" s="609"/>
      <c r="L207" s="613"/>
      <c r="M207" s="617"/>
    </row>
    <row r="208" spans="1:13" ht="18" customHeight="1" x14ac:dyDescent="0.3">
      <c r="A208" s="597">
        <v>199</v>
      </c>
      <c r="B208" s="1624"/>
      <c r="C208" s="585"/>
      <c r="D208" s="1622" t="s">
        <v>245</v>
      </c>
      <c r="E208" s="609"/>
      <c r="F208" s="610"/>
      <c r="G208" s="1626"/>
      <c r="H208" s="1603"/>
      <c r="I208" s="609"/>
      <c r="J208" s="609"/>
      <c r="K208" s="609">
        <v>3500</v>
      </c>
      <c r="L208" s="613">
        <f t="shared" si="2"/>
        <v>3500</v>
      </c>
      <c r="M208" s="617"/>
    </row>
    <row r="209" spans="1:13" ht="18" customHeight="1" x14ac:dyDescent="0.3">
      <c r="A209" s="597">
        <v>200</v>
      </c>
      <c r="B209" s="1624"/>
      <c r="C209" s="585"/>
      <c r="D209" s="1146" t="s">
        <v>810</v>
      </c>
      <c r="E209" s="609"/>
      <c r="F209" s="610"/>
      <c r="G209" s="1626"/>
      <c r="H209" s="1603"/>
      <c r="I209" s="609"/>
      <c r="J209" s="609"/>
      <c r="K209" s="609">
        <v>3500</v>
      </c>
      <c r="L209" s="613">
        <f t="shared" si="2"/>
        <v>3500</v>
      </c>
      <c r="M209" s="617"/>
    </row>
    <row r="210" spans="1:13" ht="18" customHeight="1" x14ac:dyDescent="0.3">
      <c r="A210" s="597">
        <v>201</v>
      </c>
      <c r="B210" s="1624"/>
      <c r="C210" s="585"/>
      <c r="D210" s="910" t="s">
        <v>652</v>
      </c>
      <c r="E210" s="609"/>
      <c r="F210" s="610"/>
      <c r="G210" s="1626"/>
      <c r="H210" s="1603"/>
      <c r="I210" s="1612"/>
      <c r="J210" s="1612"/>
      <c r="K210" s="1612"/>
      <c r="L210" s="1214">
        <f t="shared" si="2"/>
        <v>0</v>
      </c>
      <c r="M210" s="617"/>
    </row>
    <row r="211" spans="1:13" ht="18" customHeight="1" x14ac:dyDescent="0.3">
      <c r="A211" s="597">
        <v>202</v>
      </c>
      <c r="B211" s="1624"/>
      <c r="C211" s="585"/>
      <c r="D211" s="1146" t="s">
        <v>858</v>
      </c>
      <c r="E211" s="609"/>
      <c r="F211" s="610"/>
      <c r="G211" s="1626"/>
      <c r="H211" s="1603"/>
      <c r="I211" s="609"/>
      <c r="J211" s="609"/>
      <c r="K211" s="609">
        <f>SUM(K209:K210)</f>
        <v>3500</v>
      </c>
      <c r="L211" s="613">
        <f t="shared" si="2"/>
        <v>3500</v>
      </c>
      <c r="M211" s="617"/>
    </row>
    <row r="212" spans="1:13" ht="33" x14ac:dyDescent="0.3">
      <c r="A212" s="597">
        <v>203</v>
      </c>
      <c r="B212" s="1624"/>
      <c r="C212" s="585">
        <v>92</v>
      </c>
      <c r="D212" s="1627" t="s">
        <v>476</v>
      </c>
      <c r="E212" s="609">
        <f>F212+G212+L216+M213</f>
        <v>3345</v>
      </c>
      <c r="F212" s="610"/>
      <c r="G212" s="1626">
        <v>2350</v>
      </c>
      <c r="H212" s="1603" t="s">
        <v>24</v>
      </c>
      <c r="I212" s="609"/>
      <c r="J212" s="609"/>
      <c r="K212" s="609"/>
      <c r="L212" s="613"/>
      <c r="M212" s="617"/>
    </row>
    <row r="213" spans="1:13" ht="18" customHeight="1" x14ac:dyDescent="0.3">
      <c r="A213" s="597">
        <v>204</v>
      </c>
      <c r="B213" s="1624"/>
      <c r="C213" s="585"/>
      <c r="D213" s="1622" t="s">
        <v>245</v>
      </c>
      <c r="E213" s="609"/>
      <c r="F213" s="610"/>
      <c r="G213" s="1626"/>
      <c r="H213" s="1603"/>
      <c r="I213" s="609"/>
      <c r="J213" s="609">
        <v>995</v>
      </c>
      <c r="K213" s="609"/>
      <c r="L213" s="613">
        <f t="shared" si="2"/>
        <v>995</v>
      </c>
      <c r="M213" s="617"/>
    </row>
    <row r="214" spans="1:13" ht="18" customHeight="1" x14ac:dyDescent="0.3">
      <c r="A214" s="597">
        <v>205</v>
      </c>
      <c r="B214" s="1624"/>
      <c r="C214" s="585"/>
      <c r="D214" s="1146" t="s">
        <v>810</v>
      </c>
      <c r="E214" s="609"/>
      <c r="F214" s="610"/>
      <c r="G214" s="1626"/>
      <c r="H214" s="1603"/>
      <c r="I214" s="609"/>
      <c r="J214" s="609">
        <v>995</v>
      </c>
      <c r="K214" s="609"/>
      <c r="L214" s="613">
        <f t="shared" si="2"/>
        <v>995</v>
      </c>
      <c r="M214" s="617"/>
    </row>
    <row r="215" spans="1:13" ht="18" customHeight="1" x14ac:dyDescent="0.3">
      <c r="A215" s="597">
        <v>206</v>
      </c>
      <c r="B215" s="1624"/>
      <c r="C215" s="585"/>
      <c r="D215" s="910" t="s">
        <v>652</v>
      </c>
      <c r="E215" s="609"/>
      <c r="F215" s="610"/>
      <c r="G215" s="1626"/>
      <c r="H215" s="1603"/>
      <c r="I215" s="1612"/>
      <c r="J215" s="1612"/>
      <c r="K215" s="1612"/>
      <c r="L215" s="1214">
        <f t="shared" si="2"/>
        <v>0</v>
      </c>
      <c r="M215" s="617"/>
    </row>
    <row r="216" spans="1:13" ht="18" customHeight="1" x14ac:dyDescent="0.3">
      <c r="A216" s="597">
        <v>207</v>
      </c>
      <c r="B216" s="1624"/>
      <c r="C216" s="585"/>
      <c r="D216" s="1146" t="s">
        <v>858</v>
      </c>
      <c r="E216" s="609"/>
      <c r="F216" s="610"/>
      <c r="G216" s="1626"/>
      <c r="H216" s="1603"/>
      <c r="I216" s="609"/>
      <c r="J216" s="609">
        <f>SUM(J214:J215)</f>
        <v>995</v>
      </c>
      <c r="K216" s="609"/>
      <c r="L216" s="613">
        <f t="shared" ref="L216" si="4">SUM(I216:K216)</f>
        <v>995</v>
      </c>
      <c r="M216" s="617"/>
    </row>
    <row r="217" spans="1:13" ht="22.15" customHeight="1" x14ac:dyDescent="0.3">
      <c r="A217" s="597">
        <v>208</v>
      </c>
      <c r="B217" s="1624"/>
      <c r="C217" s="615">
        <v>94</v>
      </c>
      <c r="D217" s="1605" t="s">
        <v>530</v>
      </c>
      <c r="E217" s="609">
        <f>F217+G217+L221+M218</f>
        <v>284450</v>
      </c>
      <c r="F217" s="610"/>
      <c r="G217" s="1626"/>
      <c r="H217" s="1603" t="s">
        <v>24</v>
      </c>
      <c r="I217" s="609"/>
      <c r="J217" s="609"/>
      <c r="K217" s="609"/>
      <c r="L217" s="613"/>
      <c r="M217" s="617"/>
    </row>
    <row r="218" spans="1:13" ht="18" customHeight="1" x14ac:dyDescent="0.3">
      <c r="A218" s="597">
        <v>209</v>
      </c>
      <c r="B218" s="1624"/>
      <c r="C218" s="585"/>
      <c r="D218" s="1622" t="s">
        <v>245</v>
      </c>
      <c r="E218" s="609"/>
      <c r="F218" s="610"/>
      <c r="G218" s="1626"/>
      <c r="H218" s="1603"/>
      <c r="I218" s="609"/>
      <c r="J218" s="609">
        <v>289371</v>
      </c>
      <c r="K218" s="609"/>
      <c r="L218" s="613">
        <f>SUM(I218:K218)</f>
        <v>289371</v>
      </c>
      <c r="M218" s="617"/>
    </row>
    <row r="219" spans="1:13" ht="18" customHeight="1" x14ac:dyDescent="0.3">
      <c r="A219" s="597">
        <v>210</v>
      </c>
      <c r="B219" s="1624"/>
      <c r="C219" s="585"/>
      <c r="D219" s="1146" t="s">
        <v>810</v>
      </c>
      <c r="E219" s="609"/>
      <c r="F219" s="610"/>
      <c r="G219" s="1626"/>
      <c r="H219" s="1603"/>
      <c r="I219" s="609"/>
      <c r="J219" s="609">
        <v>284450</v>
      </c>
      <c r="K219" s="609"/>
      <c r="L219" s="613">
        <f>SUM(I219:K219)</f>
        <v>284450</v>
      </c>
      <c r="M219" s="617"/>
    </row>
    <row r="220" spans="1:13" ht="18" customHeight="1" x14ac:dyDescent="0.3">
      <c r="A220" s="597">
        <v>211</v>
      </c>
      <c r="B220" s="1624"/>
      <c r="C220" s="585"/>
      <c r="D220" s="910" t="s">
        <v>857</v>
      </c>
      <c r="E220" s="609"/>
      <c r="F220" s="610"/>
      <c r="G220" s="1626"/>
      <c r="H220" s="1603"/>
      <c r="I220" s="1612"/>
      <c r="J220" s="1612"/>
      <c r="K220" s="1612"/>
      <c r="L220" s="1214">
        <f t="shared" ref="L220:L221" si="5">SUM(I220:K220)</f>
        <v>0</v>
      </c>
      <c r="M220" s="617"/>
    </row>
    <row r="221" spans="1:13" ht="18" customHeight="1" x14ac:dyDescent="0.3">
      <c r="A221" s="597">
        <v>212</v>
      </c>
      <c r="B221" s="1624"/>
      <c r="C221" s="585"/>
      <c r="D221" s="1146" t="s">
        <v>858</v>
      </c>
      <c r="E221" s="609"/>
      <c r="F221" s="610"/>
      <c r="G221" s="1626"/>
      <c r="H221" s="1603"/>
      <c r="I221" s="609"/>
      <c r="J221" s="609">
        <f>SUM(J219:J220)</f>
        <v>284450</v>
      </c>
      <c r="K221" s="609"/>
      <c r="L221" s="613">
        <f t="shared" si="5"/>
        <v>284450</v>
      </c>
      <c r="M221" s="617"/>
    </row>
    <row r="222" spans="1:13" ht="66.75" customHeight="1" x14ac:dyDescent="0.3">
      <c r="A222" s="597">
        <v>213</v>
      </c>
      <c r="B222" s="1624"/>
      <c r="C222" s="585">
        <v>102</v>
      </c>
      <c r="D222" s="1605" t="s">
        <v>458</v>
      </c>
      <c r="E222" s="609">
        <f>F222+G222+L226+M223</f>
        <v>330000</v>
      </c>
      <c r="F222" s="610"/>
      <c r="G222" s="1626">
        <v>100000</v>
      </c>
      <c r="H222" s="1603" t="s">
        <v>24</v>
      </c>
      <c r="I222" s="609"/>
      <c r="J222" s="609"/>
      <c r="K222" s="609"/>
      <c r="L222" s="613"/>
      <c r="M222" s="617"/>
    </row>
    <row r="223" spans="1:13" ht="18" customHeight="1" x14ac:dyDescent="0.3">
      <c r="A223" s="597">
        <v>214</v>
      </c>
      <c r="B223" s="1624"/>
      <c r="C223" s="585"/>
      <c r="D223" s="1622" t="s">
        <v>245</v>
      </c>
      <c r="E223" s="609"/>
      <c r="F223" s="610"/>
      <c r="G223" s="1626"/>
      <c r="H223" s="1603"/>
      <c r="I223" s="609"/>
      <c r="J223" s="609">
        <f>130000+100000</f>
        <v>230000</v>
      </c>
      <c r="K223" s="609"/>
      <c r="L223" s="613">
        <f>SUM(I223:K223)</f>
        <v>230000</v>
      </c>
      <c r="M223" s="617"/>
    </row>
    <row r="224" spans="1:13" ht="18" customHeight="1" x14ac:dyDescent="0.3">
      <c r="A224" s="597">
        <v>215</v>
      </c>
      <c r="B224" s="1624"/>
      <c r="C224" s="585"/>
      <c r="D224" s="1146" t="s">
        <v>810</v>
      </c>
      <c r="E224" s="609"/>
      <c r="F224" s="610"/>
      <c r="G224" s="1626"/>
      <c r="H224" s="1603"/>
      <c r="I224" s="609"/>
      <c r="J224" s="609">
        <v>230000</v>
      </c>
      <c r="K224" s="609"/>
      <c r="L224" s="613">
        <f>SUM(I224:K224)</f>
        <v>230000</v>
      </c>
      <c r="M224" s="617"/>
    </row>
    <row r="225" spans="1:13" ht="18" customHeight="1" x14ac:dyDescent="0.3">
      <c r="A225" s="597">
        <v>216</v>
      </c>
      <c r="B225" s="1624"/>
      <c r="C225" s="585"/>
      <c r="D225" s="910" t="s">
        <v>652</v>
      </c>
      <c r="E225" s="609"/>
      <c r="F225" s="610"/>
      <c r="G225" s="1626"/>
      <c r="H225" s="1603"/>
      <c r="I225" s="1612"/>
      <c r="J225" s="1612"/>
      <c r="K225" s="1612"/>
      <c r="L225" s="1214">
        <f t="shared" ref="L225:L226" si="6">SUM(I225:K225)</f>
        <v>0</v>
      </c>
      <c r="M225" s="617"/>
    </row>
    <row r="226" spans="1:13" ht="18" customHeight="1" x14ac:dyDescent="0.3">
      <c r="A226" s="597">
        <v>217</v>
      </c>
      <c r="B226" s="1624"/>
      <c r="C226" s="585"/>
      <c r="D226" s="1146" t="s">
        <v>858</v>
      </c>
      <c r="E226" s="609"/>
      <c r="F226" s="610"/>
      <c r="G226" s="1626"/>
      <c r="H226" s="1603"/>
      <c r="I226" s="609"/>
      <c r="J226" s="609">
        <f>SUM(J224:J225)</f>
        <v>230000</v>
      </c>
      <c r="K226" s="609"/>
      <c r="L226" s="613">
        <f t="shared" si="6"/>
        <v>230000</v>
      </c>
      <c r="M226" s="617"/>
    </row>
    <row r="227" spans="1:13" ht="33" x14ac:dyDescent="0.3">
      <c r="A227" s="597">
        <v>218</v>
      </c>
      <c r="B227" s="1624"/>
      <c r="C227" s="585">
        <v>103</v>
      </c>
      <c r="D227" s="1625" t="s">
        <v>459</v>
      </c>
      <c r="E227" s="609">
        <f>F227+G227+L231+M228</f>
        <v>34650</v>
      </c>
      <c r="F227" s="610"/>
      <c r="G227" s="1626"/>
      <c r="H227" s="1603" t="s">
        <v>24</v>
      </c>
      <c r="I227" s="609"/>
      <c r="J227" s="609"/>
      <c r="K227" s="609"/>
      <c r="L227" s="613"/>
      <c r="M227" s="617"/>
    </row>
    <row r="228" spans="1:13" ht="18" customHeight="1" x14ac:dyDescent="0.3">
      <c r="A228" s="597">
        <v>219</v>
      </c>
      <c r="B228" s="1624"/>
      <c r="C228" s="585"/>
      <c r="D228" s="1622" t="s">
        <v>245</v>
      </c>
      <c r="E228" s="609"/>
      <c r="F228" s="610"/>
      <c r="G228" s="1626"/>
      <c r="H228" s="1603"/>
      <c r="I228" s="609"/>
      <c r="J228" s="609">
        <v>46050</v>
      </c>
      <c r="K228" s="609"/>
      <c r="L228" s="613">
        <f>SUM(I228:K228)</f>
        <v>46050</v>
      </c>
      <c r="M228" s="617"/>
    </row>
    <row r="229" spans="1:13" ht="18" customHeight="1" x14ac:dyDescent="0.3">
      <c r="A229" s="597">
        <v>220</v>
      </c>
      <c r="B229" s="1624"/>
      <c r="C229" s="585"/>
      <c r="D229" s="1146" t="s">
        <v>810</v>
      </c>
      <c r="E229" s="609"/>
      <c r="F229" s="610"/>
      <c r="G229" s="1626"/>
      <c r="H229" s="1603"/>
      <c r="I229" s="609"/>
      <c r="J229" s="609">
        <v>46050</v>
      </c>
      <c r="K229" s="609"/>
      <c r="L229" s="613">
        <f>SUM(I229:K229)</f>
        <v>46050</v>
      </c>
      <c r="M229" s="617"/>
    </row>
    <row r="230" spans="1:13" ht="18" customHeight="1" x14ac:dyDescent="0.3">
      <c r="A230" s="597">
        <v>221</v>
      </c>
      <c r="B230" s="1624"/>
      <c r="C230" s="585"/>
      <c r="D230" s="910" t="s">
        <v>897</v>
      </c>
      <c r="E230" s="609"/>
      <c r="F230" s="610"/>
      <c r="G230" s="1626"/>
      <c r="H230" s="1603"/>
      <c r="I230" s="1612"/>
      <c r="J230" s="1612">
        <f>-4700-4000-2700</f>
        <v>-11400</v>
      </c>
      <c r="K230" s="1612"/>
      <c r="L230" s="1214">
        <f t="shared" ref="L230:L231" si="7">SUM(I230:K230)</f>
        <v>-11400</v>
      </c>
      <c r="M230" s="617"/>
    </row>
    <row r="231" spans="1:13" ht="18" customHeight="1" x14ac:dyDescent="0.3">
      <c r="A231" s="597">
        <v>222</v>
      </c>
      <c r="B231" s="1624"/>
      <c r="C231" s="585"/>
      <c r="D231" s="1146" t="s">
        <v>858</v>
      </c>
      <c r="E231" s="609"/>
      <c r="F231" s="610"/>
      <c r="G231" s="1626"/>
      <c r="H231" s="1603"/>
      <c r="I231" s="609"/>
      <c r="J231" s="609">
        <f>SUM(J229:J230)</f>
        <v>34650</v>
      </c>
      <c r="K231" s="609"/>
      <c r="L231" s="613">
        <f t="shared" si="7"/>
        <v>34650</v>
      </c>
      <c r="M231" s="617"/>
    </row>
    <row r="232" spans="1:13" ht="22.15" customHeight="1" x14ac:dyDescent="0.3">
      <c r="A232" s="597">
        <v>223</v>
      </c>
      <c r="B232" s="1624"/>
      <c r="C232" s="615">
        <v>105</v>
      </c>
      <c r="D232" s="1628" t="s">
        <v>460</v>
      </c>
      <c r="E232" s="609">
        <f>F232+G232+L236+M233</f>
        <v>5957</v>
      </c>
      <c r="F232" s="610"/>
      <c r="G232" s="1626"/>
      <c r="H232" s="1603" t="s">
        <v>24</v>
      </c>
      <c r="I232" s="609"/>
      <c r="J232" s="609"/>
      <c r="K232" s="609"/>
      <c r="L232" s="613"/>
      <c r="M232" s="617"/>
    </row>
    <row r="233" spans="1:13" ht="18" customHeight="1" x14ac:dyDescent="0.3">
      <c r="A233" s="597">
        <v>224</v>
      </c>
      <c r="B233" s="1624"/>
      <c r="C233" s="585"/>
      <c r="D233" s="1622" t="s">
        <v>245</v>
      </c>
      <c r="E233" s="609"/>
      <c r="F233" s="610"/>
      <c r="G233" s="1626"/>
      <c r="H233" s="1603"/>
      <c r="I233" s="609"/>
      <c r="J233" s="609">
        <v>5957</v>
      </c>
      <c r="K233" s="609"/>
      <c r="L233" s="613">
        <f>SUM(I233:K233)</f>
        <v>5957</v>
      </c>
      <c r="M233" s="617"/>
    </row>
    <row r="234" spans="1:13" ht="18" customHeight="1" x14ac:dyDescent="0.3">
      <c r="A234" s="597">
        <v>225</v>
      </c>
      <c r="B234" s="1624"/>
      <c r="C234" s="585"/>
      <c r="D234" s="1146" t="s">
        <v>810</v>
      </c>
      <c r="E234" s="609"/>
      <c r="F234" s="610"/>
      <c r="G234" s="1626"/>
      <c r="H234" s="1603"/>
      <c r="I234" s="609"/>
      <c r="J234" s="609">
        <v>5957</v>
      </c>
      <c r="K234" s="609"/>
      <c r="L234" s="613">
        <f>SUM(I234:K234)</f>
        <v>5957</v>
      </c>
      <c r="M234" s="617"/>
    </row>
    <row r="235" spans="1:13" ht="18" customHeight="1" x14ac:dyDescent="0.3">
      <c r="A235" s="597">
        <v>226</v>
      </c>
      <c r="B235" s="1624"/>
      <c r="C235" s="585"/>
      <c r="D235" s="910" t="s">
        <v>652</v>
      </c>
      <c r="E235" s="609"/>
      <c r="F235" s="610"/>
      <c r="G235" s="1626"/>
      <c r="H235" s="1603"/>
      <c r="I235" s="1612"/>
      <c r="J235" s="1612"/>
      <c r="K235" s="1612"/>
      <c r="L235" s="1214">
        <f t="shared" ref="L235:L236" si="8">SUM(I235:K235)</f>
        <v>0</v>
      </c>
      <c r="M235" s="617"/>
    </row>
    <row r="236" spans="1:13" ht="18" customHeight="1" x14ac:dyDescent="0.3">
      <c r="A236" s="597">
        <v>227</v>
      </c>
      <c r="B236" s="1624"/>
      <c r="C236" s="585"/>
      <c r="D236" s="1146" t="s">
        <v>858</v>
      </c>
      <c r="E236" s="609"/>
      <c r="F236" s="610"/>
      <c r="G236" s="1626"/>
      <c r="H236" s="1603"/>
      <c r="I236" s="609"/>
      <c r="J236" s="609">
        <f>SUM(J234:J235)</f>
        <v>5957</v>
      </c>
      <c r="K236" s="609"/>
      <c r="L236" s="613">
        <f t="shared" si="8"/>
        <v>5957</v>
      </c>
      <c r="M236" s="617"/>
    </row>
    <row r="237" spans="1:13" ht="31.5" customHeight="1" x14ac:dyDescent="0.3">
      <c r="A237" s="597">
        <v>228</v>
      </c>
      <c r="B237" s="1624"/>
      <c r="C237" s="585">
        <v>109</v>
      </c>
      <c r="D237" s="1625" t="s">
        <v>461</v>
      </c>
      <c r="E237" s="609">
        <f>F237+G237+L241+M238</f>
        <v>6325</v>
      </c>
      <c r="F237" s="610"/>
      <c r="G237" s="1626">
        <v>6325</v>
      </c>
      <c r="H237" s="1603" t="s">
        <v>24</v>
      </c>
      <c r="I237" s="609"/>
      <c r="J237" s="609"/>
      <c r="K237" s="609"/>
      <c r="L237" s="613"/>
      <c r="M237" s="617"/>
    </row>
    <row r="238" spans="1:13" ht="18" customHeight="1" x14ac:dyDescent="0.3">
      <c r="A238" s="597">
        <v>229</v>
      </c>
      <c r="B238" s="1624"/>
      <c r="C238" s="585"/>
      <c r="D238" s="1622" t="s">
        <v>245</v>
      </c>
      <c r="E238" s="609"/>
      <c r="F238" s="610"/>
      <c r="G238" s="1626"/>
      <c r="H238" s="1603"/>
      <c r="I238" s="609"/>
      <c r="J238" s="609">
        <v>1175</v>
      </c>
      <c r="K238" s="609"/>
      <c r="L238" s="613">
        <f>SUM(I238:K238)</f>
        <v>1175</v>
      </c>
      <c r="M238" s="617"/>
    </row>
    <row r="239" spans="1:13" ht="18" customHeight="1" x14ac:dyDescent="0.3">
      <c r="A239" s="597">
        <v>230</v>
      </c>
      <c r="B239" s="1624"/>
      <c r="C239" s="585"/>
      <c r="D239" s="1146" t="s">
        <v>810</v>
      </c>
      <c r="E239" s="609"/>
      <c r="F239" s="610"/>
      <c r="G239" s="1626"/>
      <c r="H239" s="1603"/>
      <c r="I239" s="609"/>
      <c r="J239" s="609">
        <v>1175</v>
      </c>
      <c r="K239" s="609"/>
      <c r="L239" s="613">
        <f>SUM(I239:K239)</f>
        <v>1175</v>
      </c>
      <c r="M239" s="617"/>
    </row>
    <row r="240" spans="1:13" ht="18" customHeight="1" x14ac:dyDescent="0.3">
      <c r="A240" s="597">
        <v>231</v>
      </c>
      <c r="B240" s="1624"/>
      <c r="C240" s="585"/>
      <c r="D240" s="910" t="s">
        <v>897</v>
      </c>
      <c r="E240" s="609"/>
      <c r="F240" s="610"/>
      <c r="G240" s="1626"/>
      <c r="H240" s="1603"/>
      <c r="I240" s="1612"/>
      <c r="J240" s="1612">
        <v>-1175</v>
      </c>
      <c r="K240" s="1612"/>
      <c r="L240" s="1214">
        <f t="shared" ref="L240:L241" si="9">SUM(I240:K240)</f>
        <v>-1175</v>
      </c>
      <c r="M240" s="617"/>
    </row>
    <row r="241" spans="1:13" ht="18" customHeight="1" x14ac:dyDescent="0.3">
      <c r="A241" s="597">
        <v>232</v>
      </c>
      <c r="B241" s="1624"/>
      <c r="C241" s="585"/>
      <c r="D241" s="1146" t="s">
        <v>858</v>
      </c>
      <c r="E241" s="609"/>
      <c r="F241" s="610"/>
      <c r="G241" s="1626"/>
      <c r="H241" s="1603"/>
      <c r="I241" s="609"/>
      <c r="J241" s="609">
        <f>SUM(J239:J240)</f>
        <v>0</v>
      </c>
      <c r="K241" s="609"/>
      <c r="L241" s="613">
        <f t="shared" si="9"/>
        <v>0</v>
      </c>
      <c r="M241" s="617"/>
    </row>
    <row r="242" spans="1:13" ht="50.25" customHeight="1" x14ac:dyDescent="0.3">
      <c r="A242" s="597">
        <v>233</v>
      </c>
      <c r="B242" s="1624"/>
      <c r="C242" s="585">
        <v>111</v>
      </c>
      <c r="D242" s="1625" t="s">
        <v>462</v>
      </c>
      <c r="E242" s="609">
        <f>F242+G242+L246+M243</f>
        <v>4600</v>
      </c>
      <c r="F242" s="610"/>
      <c r="G242" s="1626"/>
      <c r="H242" s="1603" t="s">
        <v>24</v>
      </c>
      <c r="I242" s="609"/>
      <c r="J242" s="609"/>
      <c r="K242" s="609"/>
      <c r="L242" s="613"/>
      <c r="M242" s="617"/>
    </row>
    <row r="243" spans="1:13" ht="18" customHeight="1" x14ac:dyDescent="0.3">
      <c r="A243" s="597">
        <v>234</v>
      </c>
      <c r="B243" s="1624"/>
      <c r="C243" s="585"/>
      <c r="D243" s="1622" t="s">
        <v>245</v>
      </c>
      <c r="E243" s="609"/>
      <c r="F243" s="610"/>
      <c r="G243" s="1626"/>
      <c r="H243" s="1603"/>
      <c r="I243" s="609"/>
      <c r="J243" s="609">
        <v>4600</v>
      </c>
      <c r="K243" s="609"/>
      <c r="L243" s="613">
        <f>SUM(I243:K243)</f>
        <v>4600</v>
      </c>
      <c r="M243" s="617"/>
    </row>
    <row r="244" spans="1:13" ht="18" customHeight="1" x14ac:dyDescent="0.3">
      <c r="A244" s="597">
        <v>235</v>
      </c>
      <c r="B244" s="1624"/>
      <c r="C244" s="585"/>
      <c r="D244" s="1146" t="s">
        <v>810</v>
      </c>
      <c r="E244" s="609"/>
      <c r="F244" s="610"/>
      <c r="G244" s="1626"/>
      <c r="H244" s="1603"/>
      <c r="I244" s="609"/>
      <c r="J244" s="609">
        <v>4600</v>
      </c>
      <c r="K244" s="609"/>
      <c r="L244" s="613">
        <f>SUM(I244:K244)</f>
        <v>4600</v>
      </c>
      <c r="M244" s="617"/>
    </row>
    <row r="245" spans="1:13" ht="18" customHeight="1" x14ac:dyDescent="0.3">
      <c r="A245" s="597">
        <v>236</v>
      </c>
      <c r="B245" s="1624"/>
      <c r="C245" s="585"/>
      <c r="D245" s="910" t="s">
        <v>652</v>
      </c>
      <c r="E245" s="609"/>
      <c r="F245" s="610"/>
      <c r="G245" s="1626"/>
      <c r="H245" s="1603"/>
      <c r="I245" s="1612"/>
      <c r="J245" s="1612"/>
      <c r="K245" s="1612"/>
      <c r="L245" s="1214">
        <f t="shared" ref="L245:L246" si="10">SUM(I245:K245)</f>
        <v>0</v>
      </c>
      <c r="M245" s="617"/>
    </row>
    <row r="246" spans="1:13" ht="18" customHeight="1" x14ac:dyDescent="0.3">
      <c r="A246" s="597">
        <v>237</v>
      </c>
      <c r="B246" s="1624"/>
      <c r="C246" s="585"/>
      <c r="D246" s="1146" t="s">
        <v>858</v>
      </c>
      <c r="E246" s="609"/>
      <c r="F246" s="610"/>
      <c r="G246" s="1626"/>
      <c r="H246" s="1603"/>
      <c r="I246" s="609"/>
      <c r="J246" s="609">
        <f>SUM(J244:J245)</f>
        <v>4600</v>
      </c>
      <c r="K246" s="609"/>
      <c r="L246" s="613">
        <f t="shared" si="10"/>
        <v>4600</v>
      </c>
      <c r="M246" s="617"/>
    </row>
    <row r="247" spans="1:13" ht="33" x14ac:dyDescent="0.3">
      <c r="A247" s="597">
        <v>238</v>
      </c>
      <c r="B247" s="1624"/>
      <c r="C247" s="585">
        <v>113</v>
      </c>
      <c r="D247" s="1625" t="s">
        <v>498</v>
      </c>
      <c r="E247" s="609">
        <f>F247+G247+L251+M248</f>
        <v>90000</v>
      </c>
      <c r="F247" s="610"/>
      <c r="G247" s="1626">
        <v>15938</v>
      </c>
      <c r="H247" s="1603" t="s">
        <v>24</v>
      </c>
      <c r="I247" s="609"/>
      <c r="J247" s="609"/>
      <c r="K247" s="609"/>
      <c r="L247" s="613"/>
      <c r="M247" s="617"/>
    </row>
    <row r="248" spans="1:13" ht="18" customHeight="1" x14ac:dyDescent="0.3">
      <c r="A248" s="597">
        <v>239</v>
      </c>
      <c r="B248" s="1624"/>
      <c r="C248" s="585"/>
      <c r="D248" s="1622" t="s">
        <v>245</v>
      </c>
      <c r="E248" s="609"/>
      <c r="F248" s="610"/>
      <c r="G248" s="1626"/>
      <c r="H248" s="1603"/>
      <c r="I248" s="609"/>
      <c r="J248" s="609">
        <v>64062</v>
      </c>
      <c r="K248" s="609"/>
      <c r="L248" s="613">
        <f>SUM(I248:K248)</f>
        <v>64062</v>
      </c>
      <c r="M248" s="617"/>
    </row>
    <row r="249" spans="1:13" ht="18" customHeight="1" x14ac:dyDescent="0.3">
      <c r="A249" s="597">
        <v>240</v>
      </c>
      <c r="B249" s="1624"/>
      <c r="C249" s="585"/>
      <c r="D249" s="1146" t="s">
        <v>810</v>
      </c>
      <c r="E249" s="609"/>
      <c r="F249" s="610"/>
      <c r="G249" s="1626"/>
      <c r="H249" s="1603"/>
      <c r="I249" s="609"/>
      <c r="J249" s="609">
        <v>74062</v>
      </c>
      <c r="K249" s="609"/>
      <c r="L249" s="613">
        <f>SUM(I249:K249)</f>
        <v>74062</v>
      </c>
      <c r="M249" s="617"/>
    </row>
    <row r="250" spans="1:13" ht="18" customHeight="1" x14ac:dyDescent="0.3">
      <c r="A250" s="597">
        <v>241</v>
      </c>
      <c r="B250" s="1624"/>
      <c r="C250" s="585"/>
      <c r="D250" s="910" t="s">
        <v>652</v>
      </c>
      <c r="E250" s="609"/>
      <c r="F250" s="610"/>
      <c r="G250" s="1626"/>
      <c r="H250" s="1603"/>
      <c r="I250" s="1612"/>
      <c r="J250" s="1612"/>
      <c r="K250" s="1612"/>
      <c r="L250" s="1214">
        <f t="shared" ref="L250:L251" si="11">SUM(I250:K250)</f>
        <v>0</v>
      </c>
      <c r="M250" s="617"/>
    </row>
    <row r="251" spans="1:13" ht="18" customHeight="1" x14ac:dyDescent="0.3">
      <c r="A251" s="597">
        <v>242</v>
      </c>
      <c r="B251" s="1624"/>
      <c r="C251" s="585"/>
      <c r="D251" s="1146" t="s">
        <v>858</v>
      </c>
      <c r="E251" s="609"/>
      <c r="F251" s="610"/>
      <c r="G251" s="1626"/>
      <c r="H251" s="1603"/>
      <c r="I251" s="609"/>
      <c r="J251" s="609">
        <f>SUM(J249:J250)</f>
        <v>74062</v>
      </c>
      <c r="K251" s="609"/>
      <c r="L251" s="613">
        <f t="shared" si="11"/>
        <v>74062</v>
      </c>
      <c r="M251" s="617"/>
    </row>
    <row r="252" spans="1:13" ht="22.15" customHeight="1" x14ac:dyDescent="0.3">
      <c r="A252" s="597">
        <v>243</v>
      </c>
      <c r="B252" s="1624"/>
      <c r="C252" s="615">
        <v>114</v>
      </c>
      <c r="D252" s="1625" t="s">
        <v>463</v>
      </c>
      <c r="E252" s="609">
        <f>F252+G252+L256+M253</f>
        <v>13500</v>
      </c>
      <c r="F252" s="610"/>
      <c r="G252" s="1626"/>
      <c r="H252" s="1603" t="s">
        <v>24</v>
      </c>
      <c r="I252" s="609"/>
      <c r="J252" s="609"/>
      <c r="K252" s="609"/>
      <c r="L252" s="613"/>
      <c r="M252" s="617"/>
    </row>
    <row r="253" spans="1:13" ht="18" customHeight="1" x14ac:dyDescent="0.3">
      <c r="A253" s="597">
        <v>244</v>
      </c>
      <c r="B253" s="1624"/>
      <c r="C253" s="585"/>
      <c r="D253" s="1622" t="s">
        <v>245</v>
      </c>
      <c r="E253" s="609"/>
      <c r="F253" s="610"/>
      <c r="G253" s="1626"/>
      <c r="H253" s="1603"/>
      <c r="I253" s="609"/>
      <c r="J253" s="609">
        <v>13500</v>
      </c>
      <c r="K253" s="609"/>
      <c r="L253" s="613">
        <f>SUM(I253:K253)</f>
        <v>13500</v>
      </c>
      <c r="M253" s="617"/>
    </row>
    <row r="254" spans="1:13" ht="18" customHeight="1" x14ac:dyDescent="0.3">
      <c r="A254" s="597">
        <v>245</v>
      </c>
      <c r="B254" s="1624"/>
      <c r="C254" s="585"/>
      <c r="D254" s="1146" t="s">
        <v>810</v>
      </c>
      <c r="E254" s="609"/>
      <c r="F254" s="610"/>
      <c r="G254" s="1626"/>
      <c r="H254" s="1603"/>
      <c r="I254" s="609"/>
      <c r="J254" s="609">
        <v>13500</v>
      </c>
      <c r="K254" s="609"/>
      <c r="L254" s="613">
        <f>SUM(I254:K254)</f>
        <v>13500</v>
      </c>
      <c r="M254" s="617"/>
    </row>
    <row r="255" spans="1:13" ht="18" customHeight="1" x14ac:dyDescent="0.3">
      <c r="A255" s="597">
        <v>246</v>
      </c>
      <c r="B255" s="1624"/>
      <c r="C255" s="585"/>
      <c r="D255" s="910" t="s">
        <v>652</v>
      </c>
      <c r="E255" s="609"/>
      <c r="F255" s="610"/>
      <c r="G255" s="1626"/>
      <c r="H255" s="1603"/>
      <c r="I255" s="1612"/>
      <c r="J255" s="1612"/>
      <c r="K255" s="1612"/>
      <c r="L255" s="1214">
        <f t="shared" ref="L255:L256" si="12">SUM(I255:K255)</f>
        <v>0</v>
      </c>
      <c r="M255" s="617"/>
    </row>
    <row r="256" spans="1:13" ht="18" customHeight="1" x14ac:dyDescent="0.3">
      <c r="A256" s="597">
        <v>247</v>
      </c>
      <c r="B256" s="1624"/>
      <c r="C256" s="585"/>
      <c r="D256" s="1146" t="s">
        <v>858</v>
      </c>
      <c r="E256" s="609"/>
      <c r="F256" s="610"/>
      <c r="G256" s="1626"/>
      <c r="H256" s="1603"/>
      <c r="I256" s="609"/>
      <c r="J256" s="609">
        <f>SUM(J254:J255)</f>
        <v>13500</v>
      </c>
      <c r="K256" s="609"/>
      <c r="L256" s="613">
        <f t="shared" si="12"/>
        <v>13500</v>
      </c>
      <c r="M256" s="617"/>
    </row>
    <row r="257" spans="1:13" ht="34.5" customHeight="1" x14ac:dyDescent="0.3">
      <c r="A257" s="597">
        <v>248</v>
      </c>
      <c r="B257" s="1624"/>
      <c r="C257" s="585">
        <v>115</v>
      </c>
      <c r="D257" s="1625" t="s">
        <v>464</v>
      </c>
      <c r="E257" s="609">
        <f>F257+G257+L261+M258</f>
        <v>25019</v>
      </c>
      <c r="F257" s="610"/>
      <c r="G257" s="1626">
        <v>11280</v>
      </c>
      <c r="H257" s="1603" t="s">
        <v>24</v>
      </c>
      <c r="I257" s="609"/>
      <c r="J257" s="609"/>
      <c r="K257" s="609"/>
      <c r="L257" s="613"/>
      <c r="M257" s="617"/>
    </row>
    <row r="258" spans="1:13" ht="18" customHeight="1" x14ac:dyDescent="0.3">
      <c r="A258" s="597">
        <v>249</v>
      </c>
      <c r="B258" s="1624"/>
      <c r="C258" s="585"/>
      <c r="D258" s="1622" t="s">
        <v>245</v>
      </c>
      <c r="E258" s="609"/>
      <c r="F258" s="610"/>
      <c r="G258" s="1626"/>
      <c r="H258" s="1603"/>
      <c r="I258" s="609"/>
      <c r="J258" s="609">
        <v>16720</v>
      </c>
      <c r="K258" s="609"/>
      <c r="L258" s="613">
        <f>SUM(I258:K258)</f>
        <v>16720</v>
      </c>
      <c r="M258" s="617"/>
    </row>
    <row r="259" spans="1:13" ht="18" customHeight="1" x14ac:dyDescent="0.3">
      <c r="A259" s="597">
        <v>250</v>
      </c>
      <c r="B259" s="1624"/>
      <c r="C259" s="585"/>
      <c r="D259" s="1146" t="s">
        <v>810</v>
      </c>
      <c r="E259" s="609"/>
      <c r="F259" s="610"/>
      <c r="G259" s="1626"/>
      <c r="H259" s="1603"/>
      <c r="I259" s="609"/>
      <c r="J259" s="609">
        <v>13739</v>
      </c>
      <c r="K259" s="609"/>
      <c r="L259" s="613">
        <f>SUM(I259:K259)</f>
        <v>13739</v>
      </c>
      <c r="M259" s="617"/>
    </row>
    <row r="260" spans="1:13" ht="18" customHeight="1" x14ac:dyDescent="0.3">
      <c r="A260" s="597">
        <v>251</v>
      </c>
      <c r="B260" s="1624"/>
      <c r="C260" s="585"/>
      <c r="D260" s="910" t="s">
        <v>652</v>
      </c>
      <c r="E260" s="609"/>
      <c r="F260" s="610"/>
      <c r="G260" s="1626"/>
      <c r="H260" s="1603"/>
      <c r="I260" s="1612"/>
      <c r="J260" s="1612"/>
      <c r="K260" s="1612"/>
      <c r="L260" s="1214">
        <f t="shared" ref="L260:L261" si="13">SUM(I260:K260)</f>
        <v>0</v>
      </c>
      <c r="M260" s="617"/>
    </row>
    <row r="261" spans="1:13" ht="18" customHeight="1" x14ac:dyDescent="0.3">
      <c r="A261" s="597">
        <v>252</v>
      </c>
      <c r="B261" s="1624"/>
      <c r="C261" s="585"/>
      <c r="D261" s="1146" t="s">
        <v>858</v>
      </c>
      <c r="E261" s="609"/>
      <c r="F261" s="610"/>
      <c r="G261" s="1626"/>
      <c r="H261" s="1603"/>
      <c r="I261" s="609"/>
      <c r="J261" s="609">
        <f>SUM(J259:J260)</f>
        <v>13739</v>
      </c>
      <c r="K261" s="609"/>
      <c r="L261" s="613">
        <f t="shared" si="13"/>
        <v>13739</v>
      </c>
      <c r="M261" s="617"/>
    </row>
    <row r="262" spans="1:13" ht="22.15" customHeight="1" x14ac:dyDescent="0.3">
      <c r="A262" s="597">
        <v>253</v>
      </c>
      <c r="B262" s="1624"/>
      <c r="C262" s="615">
        <v>117</v>
      </c>
      <c r="D262" s="1625" t="s">
        <v>465</v>
      </c>
      <c r="E262" s="609">
        <f>F262+G262+L266+M263</f>
        <v>5500</v>
      </c>
      <c r="F262" s="610"/>
      <c r="G262" s="1626"/>
      <c r="H262" s="1603" t="s">
        <v>24</v>
      </c>
      <c r="I262" s="609"/>
      <c r="J262" s="609"/>
      <c r="K262" s="609"/>
      <c r="L262" s="613"/>
      <c r="M262" s="617"/>
    </row>
    <row r="263" spans="1:13" ht="18" customHeight="1" x14ac:dyDescent="0.3">
      <c r="A263" s="597">
        <v>254</v>
      </c>
      <c r="B263" s="1624"/>
      <c r="C263" s="585"/>
      <c r="D263" s="1622" t="s">
        <v>245</v>
      </c>
      <c r="E263" s="609"/>
      <c r="F263" s="610"/>
      <c r="G263" s="1626"/>
      <c r="H263" s="1603"/>
      <c r="I263" s="609"/>
      <c r="J263" s="609">
        <v>5500</v>
      </c>
      <c r="K263" s="609"/>
      <c r="L263" s="613">
        <f>SUM(I263:K263)</f>
        <v>5500</v>
      </c>
      <c r="M263" s="617"/>
    </row>
    <row r="264" spans="1:13" ht="18" customHeight="1" x14ac:dyDescent="0.3">
      <c r="A264" s="597">
        <v>255</v>
      </c>
      <c r="B264" s="1624"/>
      <c r="C264" s="585"/>
      <c r="D264" s="1146" t="s">
        <v>810</v>
      </c>
      <c r="E264" s="609"/>
      <c r="F264" s="610"/>
      <c r="G264" s="1626"/>
      <c r="H264" s="1603"/>
      <c r="I264" s="609"/>
      <c r="J264" s="609">
        <v>5500</v>
      </c>
      <c r="K264" s="609"/>
      <c r="L264" s="613">
        <f>SUM(I264:K264)</f>
        <v>5500</v>
      </c>
      <c r="M264" s="617"/>
    </row>
    <row r="265" spans="1:13" ht="18" customHeight="1" x14ac:dyDescent="0.3">
      <c r="A265" s="597">
        <v>256</v>
      </c>
      <c r="B265" s="1624"/>
      <c r="C265" s="585"/>
      <c r="D265" s="910" t="s">
        <v>652</v>
      </c>
      <c r="E265" s="609"/>
      <c r="F265" s="610"/>
      <c r="G265" s="1626"/>
      <c r="H265" s="1603"/>
      <c r="I265" s="1612"/>
      <c r="J265" s="1612"/>
      <c r="K265" s="1612"/>
      <c r="L265" s="1214">
        <f t="shared" ref="L265:L266" si="14">SUM(I265:K265)</f>
        <v>0</v>
      </c>
      <c r="M265" s="617"/>
    </row>
    <row r="266" spans="1:13" ht="18" customHeight="1" x14ac:dyDescent="0.3">
      <c r="A266" s="597">
        <v>257</v>
      </c>
      <c r="B266" s="1624"/>
      <c r="C266" s="585"/>
      <c r="D266" s="1146" t="s">
        <v>858</v>
      </c>
      <c r="E266" s="609"/>
      <c r="F266" s="610"/>
      <c r="G266" s="1626"/>
      <c r="H266" s="1603"/>
      <c r="I266" s="609"/>
      <c r="J266" s="609">
        <f>SUM(J264:J265)</f>
        <v>5500</v>
      </c>
      <c r="K266" s="609"/>
      <c r="L266" s="613">
        <f t="shared" si="14"/>
        <v>5500</v>
      </c>
      <c r="M266" s="617"/>
    </row>
    <row r="267" spans="1:13" ht="22.15" customHeight="1" x14ac:dyDescent="0.3">
      <c r="A267" s="597">
        <v>258</v>
      </c>
      <c r="B267" s="1624"/>
      <c r="C267" s="615">
        <v>118</v>
      </c>
      <c r="D267" s="1625" t="s">
        <v>466</v>
      </c>
      <c r="E267" s="609">
        <f>F267+G267+L271+M268</f>
        <v>20000</v>
      </c>
      <c r="F267" s="610"/>
      <c r="G267" s="1626"/>
      <c r="H267" s="1603" t="s">
        <v>23</v>
      </c>
      <c r="I267" s="609"/>
      <c r="J267" s="609"/>
      <c r="K267" s="609"/>
      <c r="L267" s="613"/>
      <c r="M267" s="617"/>
    </row>
    <row r="268" spans="1:13" ht="18" customHeight="1" x14ac:dyDescent="0.3">
      <c r="A268" s="597">
        <v>259</v>
      </c>
      <c r="B268" s="1624"/>
      <c r="C268" s="585"/>
      <c r="D268" s="1622" t="s">
        <v>245</v>
      </c>
      <c r="E268" s="609"/>
      <c r="F268" s="610"/>
      <c r="G268" s="1626"/>
      <c r="H268" s="1603"/>
      <c r="I268" s="609"/>
      <c r="J268" s="609">
        <v>20000</v>
      </c>
      <c r="K268" s="609"/>
      <c r="L268" s="613">
        <f>SUM(I268:K268)</f>
        <v>20000</v>
      </c>
      <c r="M268" s="617"/>
    </row>
    <row r="269" spans="1:13" ht="18" customHeight="1" x14ac:dyDescent="0.3">
      <c r="A269" s="597">
        <v>260</v>
      </c>
      <c r="B269" s="1624"/>
      <c r="C269" s="585"/>
      <c r="D269" s="1146" t="s">
        <v>810</v>
      </c>
      <c r="E269" s="609"/>
      <c r="F269" s="610"/>
      <c r="G269" s="1626"/>
      <c r="H269" s="1603"/>
      <c r="I269" s="609"/>
      <c r="J269" s="609">
        <v>20000</v>
      </c>
      <c r="K269" s="609"/>
      <c r="L269" s="613">
        <f>SUM(I269:K269)</f>
        <v>20000</v>
      </c>
      <c r="M269" s="617"/>
    </row>
    <row r="270" spans="1:13" ht="18" customHeight="1" x14ac:dyDescent="0.3">
      <c r="A270" s="597">
        <v>261</v>
      </c>
      <c r="B270" s="1624"/>
      <c r="C270" s="585"/>
      <c r="D270" s="910" t="s">
        <v>652</v>
      </c>
      <c r="E270" s="609"/>
      <c r="F270" s="610"/>
      <c r="G270" s="1626"/>
      <c r="H270" s="1603"/>
      <c r="I270" s="1612"/>
      <c r="J270" s="1612"/>
      <c r="K270" s="1612"/>
      <c r="L270" s="1214">
        <f t="shared" ref="L270:L271" si="15">SUM(I270:K270)</f>
        <v>0</v>
      </c>
      <c r="M270" s="617"/>
    </row>
    <row r="271" spans="1:13" ht="18" customHeight="1" x14ac:dyDescent="0.3">
      <c r="A271" s="597">
        <v>262</v>
      </c>
      <c r="B271" s="1624"/>
      <c r="C271" s="585"/>
      <c r="D271" s="1146" t="s">
        <v>858</v>
      </c>
      <c r="E271" s="609"/>
      <c r="F271" s="610"/>
      <c r="G271" s="1626"/>
      <c r="H271" s="1603"/>
      <c r="I271" s="609"/>
      <c r="J271" s="609">
        <f>SUM(J269:J270)</f>
        <v>20000</v>
      </c>
      <c r="K271" s="609"/>
      <c r="L271" s="613">
        <f t="shared" si="15"/>
        <v>20000</v>
      </c>
      <c r="M271" s="617"/>
    </row>
    <row r="272" spans="1:13" ht="22.15" customHeight="1" x14ac:dyDescent="0.3">
      <c r="A272" s="597">
        <v>263</v>
      </c>
      <c r="B272" s="1624"/>
      <c r="C272" s="615">
        <v>119</v>
      </c>
      <c r="D272" s="1625" t="s">
        <v>467</v>
      </c>
      <c r="E272" s="609">
        <f>F272+G272+L276+M273</f>
        <v>20000</v>
      </c>
      <c r="F272" s="610"/>
      <c r="G272" s="1626"/>
      <c r="H272" s="1603" t="s">
        <v>23</v>
      </c>
      <c r="I272" s="609"/>
      <c r="J272" s="609"/>
      <c r="K272" s="609"/>
      <c r="L272" s="613"/>
      <c r="M272" s="617"/>
    </row>
    <row r="273" spans="1:13" ht="18" customHeight="1" x14ac:dyDescent="0.3">
      <c r="A273" s="597">
        <v>264</v>
      </c>
      <c r="B273" s="1624"/>
      <c r="C273" s="585"/>
      <c r="D273" s="1622" t="s">
        <v>245</v>
      </c>
      <c r="E273" s="609"/>
      <c r="F273" s="610"/>
      <c r="G273" s="1626"/>
      <c r="H273" s="1603"/>
      <c r="I273" s="609"/>
      <c r="J273" s="609">
        <v>20000</v>
      </c>
      <c r="K273" s="609"/>
      <c r="L273" s="613">
        <f>SUM(I273:K273)</f>
        <v>20000</v>
      </c>
      <c r="M273" s="617"/>
    </row>
    <row r="274" spans="1:13" ht="18" customHeight="1" x14ac:dyDescent="0.3">
      <c r="A274" s="597">
        <v>265</v>
      </c>
      <c r="B274" s="1624"/>
      <c r="C274" s="585"/>
      <c r="D274" s="1146" t="s">
        <v>810</v>
      </c>
      <c r="E274" s="609"/>
      <c r="F274" s="610"/>
      <c r="G274" s="1626"/>
      <c r="H274" s="1603"/>
      <c r="I274" s="609"/>
      <c r="J274" s="609">
        <v>20000</v>
      </c>
      <c r="K274" s="609"/>
      <c r="L274" s="613">
        <f>SUM(I274:K274)</f>
        <v>20000</v>
      </c>
      <c r="M274" s="617"/>
    </row>
    <row r="275" spans="1:13" ht="18" customHeight="1" x14ac:dyDescent="0.3">
      <c r="A275" s="597">
        <v>266</v>
      </c>
      <c r="B275" s="1624"/>
      <c r="C275" s="585"/>
      <c r="D275" s="910" t="s">
        <v>652</v>
      </c>
      <c r="E275" s="609"/>
      <c r="F275" s="610"/>
      <c r="G275" s="1626"/>
      <c r="H275" s="1603"/>
      <c r="I275" s="1612"/>
      <c r="J275" s="1612"/>
      <c r="K275" s="1612"/>
      <c r="L275" s="1214">
        <f t="shared" ref="L275:L276" si="16">SUM(I275:K275)</f>
        <v>0</v>
      </c>
      <c r="M275" s="617"/>
    </row>
    <row r="276" spans="1:13" ht="18" customHeight="1" x14ac:dyDescent="0.3">
      <c r="A276" s="597">
        <v>267</v>
      </c>
      <c r="B276" s="1624"/>
      <c r="C276" s="585"/>
      <c r="D276" s="1146" t="s">
        <v>858</v>
      </c>
      <c r="E276" s="609"/>
      <c r="F276" s="610"/>
      <c r="G276" s="1626"/>
      <c r="H276" s="1603"/>
      <c r="I276" s="609"/>
      <c r="J276" s="609">
        <f>SUM(J274:J275)</f>
        <v>20000</v>
      </c>
      <c r="K276" s="609"/>
      <c r="L276" s="613">
        <f t="shared" si="16"/>
        <v>20000</v>
      </c>
      <c r="M276" s="617"/>
    </row>
    <row r="277" spans="1:13" ht="22.15" customHeight="1" x14ac:dyDescent="0.3">
      <c r="A277" s="597">
        <v>268</v>
      </c>
      <c r="B277" s="1624"/>
      <c r="C277" s="615">
        <v>120</v>
      </c>
      <c r="D277" s="1625" t="s">
        <v>681</v>
      </c>
      <c r="E277" s="609">
        <f>F277+G277+L281+M278</f>
        <v>16608</v>
      </c>
      <c r="F277" s="610"/>
      <c r="G277" s="1626">
        <v>8633</v>
      </c>
      <c r="H277" s="1603" t="s">
        <v>24</v>
      </c>
      <c r="I277" s="609"/>
      <c r="J277" s="609"/>
      <c r="K277" s="609"/>
      <c r="L277" s="613"/>
      <c r="M277" s="617"/>
    </row>
    <row r="278" spans="1:13" ht="18" customHeight="1" x14ac:dyDescent="0.3">
      <c r="A278" s="597">
        <v>269</v>
      </c>
      <c r="B278" s="1624"/>
      <c r="C278" s="585"/>
      <c r="D278" s="1622" t="s">
        <v>245</v>
      </c>
      <c r="E278" s="609"/>
      <c r="F278" s="610"/>
      <c r="G278" s="1626"/>
      <c r="H278" s="1603"/>
      <c r="I278" s="609"/>
      <c r="J278" s="609">
        <v>7975</v>
      </c>
      <c r="K278" s="609"/>
      <c r="L278" s="613">
        <f>SUM(I278:K278)</f>
        <v>7975</v>
      </c>
      <c r="M278" s="617"/>
    </row>
    <row r="279" spans="1:13" ht="18" customHeight="1" x14ac:dyDescent="0.3">
      <c r="A279" s="597">
        <v>270</v>
      </c>
      <c r="B279" s="1624"/>
      <c r="C279" s="585"/>
      <c r="D279" s="1146" t="s">
        <v>810</v>
      </c>
      <c r="E279" s="609"/>
      <c r="F279" s="610"/>
      <c r="G279" s="1626"/>
      <c r="H279" s="1603"/>
      <c r="I279" s="609"/>
      <c r="J279" s="609">
        <v>7975</v>
      </c>
      <c r="K279" s="609"/>
      <c r="L279" s="613">
        <f>SUM(I279:K279)</f>
        <v>7975</v>
      </c>
      <c r="M279" s="617"/>
    </row>
    <row r="280" spans="1:13" ht="18" customHeight="1" x14ac:dyDescent="0.3">
      <c r="A280" s="597">
        <v>271</v>
      </c>
      <c r="B280" s="1624"/>
      <c r="C280" s="585"/>
      <c r="D280" s="910" t="s">
        <v>652</v>
      </c>
      <c r="E280" s="609"/>
      <c r="F280" s="610"/>
      <c r="G280" s="1626"/>
      <c r="H280" s="1603"/>
      <c r="I280" s="1612"/>
      <c r="J280" s="1612"/>
      <c r="K280" s="1612"/>
      <c r="L280" s="1214">
        <f t="shared" ref="L280:L281" si="17">SUM(I280:K280)</f>
        <v>0</v>
      </c>
      <c r="M280" s="617"/>
    </row>
    <row r="281" spans="1:13" ht="18" customHeight="1" x14ac:dyDescent="0.3">
      <c r="A281" s="597">
        <v>272</v>
      </c>
      <c r="B281" s="1624"/>
      <c r="C281" s="585"/>
      <c r="D281" s="1146" t="s">
        <v>858</v>
      </c>
      <c r="E281" s="609"/>
      <c r="F281" s="610"/>
      <c r="G281" s="1626"/>
      <c r="H281" s="1603"/>
      <c r="I281" s="609"/>
      <c r="J281" s="609">
        <f>SUM(J279:J280)</f>
        <v>7975</v>
      </c>
      <c r="K281" s="609"/>
      <c r="L281" s="613">
        <f t="shared" si="17"/>
        <v>7975</v>
      </c>
      <c r="M281" s="617"/>
    </row>
    <row r="282" spans="1:13" ht="22.35" customHeight="1" x14ac:dyDescent="0.3">
      <c r="A282" s="597">
        <v>273</v>
      </c>
      <c r="B282" s="1624"/>
      <c r="C282" s="615">
        <v>123</v>
      </c>
      <c r="D282" s="1625" t="s">
        <v>468</v>
      </c>
      <c r="E282" s="609">
        <f>F282+G282+L286+M283</f>
        <v>5000</v>
      </c>
      <c r="F282" s="610"/>
      <c r="G282" s="1626">
        <v>3950</v>
      </c>
      <c r="H282" s="1603" t="s">
        <v>24</v>
      </c>
      <c r="I282" s="609"/>
      <c r="J282" s="609"/>
      <c r="K282" s="609"/>
      <c r="L282" s="613"/>
      <c r="M282" s="617"/>
    </row>
    <row r="283" spans="1:13" ht="18" customHeight="1" x14ac:dyDescent="0.3">
      <c r="A283" s="597">
        <v>274</v>
      </c>
      <c r="B283" s="1624"/>
      <c r="C283" s="585"/>
      <c r="D283" s="1622" t="s">
        <v>245</v>
      </c>
      <c r="E283" s="609"/>
      <c r="F283" s="610"/>
      <c r="G283" s="1626"/>
      <c r="H283" s="1603"/>
      <c r="I283" s="609"/>
      <c r="J283" s="609">
        <v>1050</v>
      </c>
      <c r="K283" s="609"/>
      <c r="L283" s="613">
        <f>SUM(I283:K283)</f>
        <v>1050</v>
      </c>
      <c r="M283" s="617"/>
    </row>
    <row r="284" spans="1:13" ht="18" customHeight="1" x14ac:dyDescent="0.3">
      <c r="A284" s="597">
        <v>275</v>
      </c>
      <c r="B284" s="633"/>
      <c r="C284" s="585"/>
      <c r="D284" s="1146" t="s">
        <v>810</v>
      </c>
      <c r="E284" s="609"/>
      <c r="F284" s="610"/>
      <c r="G284" s="1629"/>
      <c r="H284" s="603"/>
      <c r="I284" s="600"/>
      <c r="J284" s="600">
        <v>1050</v>
      </c>
      <c r="K284" s="600"/>
      <c r="L284" s="613">
        <f>SUM(I284:K284)</f>
        <v>1050</v>
      </c>
      <c r="M284" s="1630"/>
    </row>
    <row r="285" spans="1:13" ht="18" customHeight="1" x14ac:dyDescent="0.3">
      <c r="A285" s="597">
        <v>276</v>
      </c>
      <c r="B285" s="633"/>
      <c r="C285" s="585"/>
      <c r="D285" s="910" t="s">
        <v>652</v>
      </c>
      <c r="E285" s="609"/>
      <c r="F285" s="610"/>
      <c r="G285" s="1629"/>
      <c r="H285" s="603"/>
      <c r="I285" s="1631"/>
      <c r="J285" s="1631"/>
      <c r="K285" s="1631"/>
      <c r="L285" s="1214">
        <f t="shared" ref="L285:L286" si="18">SUM(I285:K285)</f>
        <v>0</v>
      </c>
      <c r="M285" s="1630"/>
    </row>
    <row r="286" spans="1:13" ht="18" customHeight="1" x14ac:dyDescent="0.3">
      <c r="A286" s="597">
        <v>277</v>
      </c>
      <c r="B286" s="633"/>
      <c r="C286" s="585"/>
      <c r="D286" s="1146" t="s">
        <v>858</v>
      </c>
      <c r="E286" s="609"/>
      <c r="F286" s="610"/>
      <c r="G286" s="1629"/>
      <c r="H286" s="603"/>
      <c r="I286" s="600"/>
      <c r="J286" s="600">
        <f>SUM(J284:J285)</f>
        <v>1050</v>
      </c>
      <c r="K286" s="600"/>
      <c r="L286" s="613">
        <f t="shared" si="18"/>
        <v>1050</v>
      </c>
      <c r="M286" s="1630"/>
    </row>
    <row r="287" spans="1:13" ht="22.35" customHeight="1" x14ac:dyDescent="0.3">
      <c r="A287" s="597">
        <v>278</v>
      </c>
      <c r="B287" s="633"/>
      <c r="C287" s="615">
        <v>126</v>
      </c>
      <c r="D287" s="1627" t="s">
        <v>624</v>
      </c>
      <c r="E287" s="609">
        <f>F287+G287+L291+M288</f>
        <v>0</v>
      </c>
      <c r="F287" s="610"/>
      <c r="G287" s="1629"/>
      <c r="H287" s="603" t="s">
        <v>24</v>
      </c>
      <c r="I287" s="600"/>
      <c r="J287" s="600"/>
      <c r="K287" s="600"/>
      <c r="L287" s="634"/>
      <c r="M287" s="1630"/>
    </row>
    <row r="288" spans="1:13" ht="18" customHeight="1" x14ac:dyDescent="0.3">
      <c r="A288" s="597">
        <v>279</v>
      </c>
      <c r="B288" s="633"/>
      <c r="C288" s="585"/>
      <c r="D288" s="1622" t="s">
        <v>245</v>
      </c>
      <c r="E288" s="600"/>
      <c r="F288" s="610"/>
      <c r="G288" s="1629"/>
      <c r="H288" s="603"/>
      <c r="I288" s="600"/>
      <c r="J288" s="600">
        <v>1500</v>
      </c>
      <c r="K288" s="600"/>
      <c r="L288" s="613">
        <f>SUM(I288:K288)</f>
        <v>1500</v>
      </c>
      <c r="M288" s="1630"/>
    </row>
    <row r="289" spans="1:13" ht="18" customHeight="1" x14ac:dyDescent="0.3">
      <c r="A289" s="597">
        <v>280</v>
      </c>
      <c r="B289" s="633"/>
      <c r="C289" s="585"/>
      <c r="D289" s="1146" t="s">
        <v>810</v>
      </c>
      <c r="E289" s="600"/>
      <c r="F289" s="610"/>
      <c r="G289" s="1629"/>
      <c r="H289" s="603"/>
      <c r="I289" s="600"/>
      <c r="J289" s="600">
        <v>0</v>
      </c>
      <c r="K289" s="600"/>
      <c r="L289" s="613">
        <f>SUM(I289:K289)</f>
        <v>0</v>
      </c>
      <c r="M289" s="1630"/>
    </row>
    <row r="290" spans="1:13" ht="18" customHeight="1" x14ac:dyDescent="0.3">
      <c r="A290" s="597">
        <v>281</v>
      </c>
      <c r="B290" s="633"/>
      <c r="C290" s="585"/>
      <c r="D290" s="910" t="s">
        <v>652</v>
      </c>
      <c r="E290" s="609"/>
      <c r="F290" s="610"/>
      <c r="G290" s="1629"/>
      <c r="H290" s="603"/>
      <c r="I290" s="1631"/>
      <c r="J290" s="1631"/>
      <c r="K290" s="1631"/>
      <c r="L290" s="1214">
        <f t="shared" ref="L290:L291" si="19">SUM(I290:K290)</f>
        <v>0</v>
      </c>
      <c r="M290" s="1630"/>
    </row>
    <row r="291" spans="1:13" ht="18" customHeight="1" x14ac:dyDescent="0.3">
      <c r="A291" s="597">
        <v>282</v>
      </c>
      <c r="B291" s="633"/>
      <c r="C291" s="585"/>
      <c r="D291" s="1146" t="s">
        <v>858</v>
      </c>
      <c r="E291" s="600"/>
      <c r="F291" s="610"/>
      <c r="G291" s="1629"/>
      <c r="H291" s="603"/>
      <c r="I291" s="600"/>
      <c r="J291" s="600">
        <f>SUM(J289:J290)</f>
        <v>0</v>
      </c>
      <c r="K291" s="600"/>
      <c r="L291" s="613">
        <f t="shared" si="19"/>
        <v>0</v>
      </c>
      <c r="M291" s="1630"/>
    </row>
    <row r="292" spans="1:13" ht="22.35" customHeight="1" x14ac:dyDescent="0.3">
      <c r="A292" s="597">
        <v>283</v>
      </c>
      <c r="B292" s="633"/>
      <c r="C292" s="615">
        <v>129</v>
      </c>
      <c r="D292" s="1627" t="s">
        <v>531</v>
      </c>
      <c r="E292" s="609">
        <f>F292+G292+L296+M293</f>
        <v>6300</v>
      </c>
      <c r="F292" s="610"/>
      <c r="G292" s="1629"/>
      <c r="H292" s="603" t="s">
        <v>24</v>
      </c>
      <c r="I292" s="600"/>
      <c r="J292" s="600"/>
      <c r="K292" s="600"/>
      <c r="L292" s="634"/>
      <c r="M292" s="1630"/>
    </row>
    <row r="293" spans="1:13" ht="18" customHeight="1" x14ac:dyDescent="0.3">
      <c r="A293" s="597">
        <v>284</v>
      </c>
      <c r="B293" s="633"/>
      <c r="C293" s="585"/>
      <c r="D293" s="1622" t="s">
        <v>245</v>
      </c>
      <c r="E293" s="600"/>
      <c r="F293" s="610"/>
      <c r="G293" s="1629"/>
      <c r="H293" s="603"/>
      <c r="I293" s="600">
        <v>6300</v>
      </c>
      <c r="J293" s="600"/>
      <c r="K293" s="600"/>
      <c r="L293" s="613">
        <f>SUM(I293:K293)</f>
        <v>6300</v>
      </c>
      <c r="M293" s="1630"/>
    </row>
    <row r="294" spans="1:13" ht="18" customHeight="1" x14ac:dyDescent="0.3">
      <c r="A294" s="597">
        <v>285</v>
      </c>
      <c r="B294" s="633"/>
      <c r="C294" s="585"/>
      <c r="D294" s="1146" t="s">
        <v>810</v>
      </c>
      <c r="E294" s="600"/>
      <c r="F294" s="610"/>
      <c r="G294" s="1629"/>
      <c r="H294" s="603"/>
      <c r="I294" s="600">
        <v>6300</v>
      </c>
      <c r="J294" s="600"/>
      <c r="K294" s="600"/>
      <c r="L294" s="613">
        <f>SUM(I294:K294)</f>
        <v>6300</v>
      </c>
      <c r="M294" s="1630"/>
    </row>
    <row r="295" spans="1:13" ht="18" customHeight="1" x14ac:dyDescent="0.3">
      <c r="A295" s="597">
        <v>286</v>
      </c>
      <c r="B295" s="633"/>
      <c r="C295" s="585"/>
      <c r="D295" s="910" t="s">
        <v>652</v>
      </c>
      <c r="E295" s="600"/>
      <c r="F295" s="610"/>
      <c r="G295" s="1629"/>
      <c r="H295" s="603"/>
      <c r="I295" s="1631"/>
      <c r="J295" s="1631"/>
      <c r="K295" s="1631"/>
      <c r="L295" s="1214">
        <f t="shared" ref="L295:L296" si="20">SUM(I295:K295)</f>
        <v>0</v>
      </c>
      <c r="M295" s="1630"/>
    </row>
    <row r="296" spans="1:13" ht="18" customHeight="1" x14ac:dyDescent="0.3">
      <c r="A296" s="597">
        <v>287</v>
      </c>
      <c r="B296" s="633"/>
      <c r="C296" s="585"/>
      <c r="D296" s="1146" t="s">
        <v>858</v>
      </c>
      <c r="E296" s="600"/>
      <c r="F296" s="610"/>
      <c r="G296" s="1629"/>
      <c r="H296" s="603"/>
      <c r="I296" s="600">
        <f>SUM(I294:I295)</f>
        <v>6300</v>
      </c>
      <c r="J296" s="600"/>
      <c r="K296" s="600"/>
      <c r="L296" s="613">
        <f t="shared" si="20"/>
        <v>6300</v>
      </c>
      <c r="M296" s="1630"/>
    </row>
    <row r="297" spans="1:13" ht="22.35" customHeight="1" x14ac:dyDescent="0.35">
      <c r="A297" s="597">
        <v>288</v>
      </c>
      <c r="B297" s="633"/>
      <c r="C297" s="615">
        <v>134</v>
      </c>
      <c r="D297" s="1632" t="s">
        <v>532</v>
      </c>
      <c r="E297" s="609">
        <f>F297+G297+L301+M298</f>
        <v>1000</v>
      </c>
      <c r="F297" s="610"/>
      <c r="G297" s="1629"/>
      <c r="H297" s="603" t="s">
        <v>24</v>
      </c>
      <c r="I297" s="600"/>
      <c r="J297" s="600"/>
      <c r="K297" s="600"/>
      <c r="L297" s="634"/>
      <c r="M297" s="1630"/>
    </row>
    <row r="298" spans="1:13" ht="18" customHeight="1" x14ac:dyDescent="0.3">
      <c r="A298" s="597">
        <v>289</v>
      </c>
      <c r="B298" s="633"/>
      <c r="C298" s="585"/>
      <c r="D298" s="1622" t="s">
        <v>245</v>
      </c>
      <c r="E298" s="600"/>
      <c r="F298" s="610"/>
      <c r="G298" s="1629"/>
      <c r="H298" s="603"/>
      <c r="I298" s="600"/>
      <c r="J298" s="600">
        <v>1000</v>
      </c>
      <c r="K298" s="600"/>
      <c r="L298" s="613">
        <f>SUM(I298:K298)</f>
        <v>1000</v>
      </c>
      <c r="M298" s="1630"/>
    </row>
    <row r="299" spans="1:13" ht="18" customHeight="1" x14ac:dyDescent="0.3">
      <c r="A299" s="597">
        <v>290</v>
      </c>
      <c r="B299" s="633"/>
      <c r="C299" s="585"/>
      <c r="D299" s="1146" t="s">
        <v>810</v>
      </c>
      <c r="E299" s="600"/>
      <c r="F299" s="610"/>
      <c r="G299" s="1629"/>
      <c r="H299" s="603"/>
      <c r="I299" s="600"/>
      <c r="J299" s="600">
        <v>1000</v>
      </c>
      <c r="K299" s="600"/>
      <c r="L299" s="613">
        <f>SUM(I299:K299)</f>
        <v>1000</v>
      </c>
      <c r="M299" s="1630"/>
    </row>
    <row r="300" spans="1:13" ht="18" customHeight="1" x14ac:dyDescent="0.3">
      <c r="A300" s="597">
        <v>291</v>
      </c>
      <c r="B300" s="633"/>
      <c r="C300" s="585"/>
      <c r="D300" s="910" t="s">
        <v>652</v>
      </c>
      <c r="E300" s="600"/>
      <c r="F300" s="610"/>
      <c r="G300" s="1629"/>
      <c r="H300" s="603"/>
      <c r="I300" s="1631"/>
      <c r="J300" s="1631"/>
      <c r="K300" s="1631"/>
      <c r="L300" s="1214">
        <f t="shared" ref="L300:L301" si="21">SUM(I300:K300)</f>
        <v>0</v>
      </c>
      <c r="M300" s="1630"/>
    </row>
    <row r="301" spans="1:13" ht="18" customHeight="1" x14ac:dyDescent="0.3">
      <c r="A301" s="597">
        <v>292</v>
      </c>
      <c r="B301" s="633"/>
      <c r="C301" s="585"/>
      <c r="D301" s="1146" t="s">
        <v>858</v>
      </c>
      <c r="E301" s="600"/>
      <c r="F301" s="610"/>
      <c r="G301" s="1629"/>
      <c r="H301" s="603"/>
      <c r="I301" s="600"/>
      <c r="J301" s="600">
        <f>SUM(J299:J300)</f>
        <v>1000</v>
      </c>
      <c r="K301" s="600"/>
      <c r="L301" s="613">
        <f t="shared" si="21"/>
        <v>1000</v>
      </c>
      <c r="M301" s="1630"/>
    </row>
    <row r="302" spans="1:13" ht="33" x14ac:dyDescent="0.3">
      <c r="A302" s="597">
        <v>293</v>
      </c>
      <c r="B302" s="633"/>
      <c r="C302" s="585">
        <v>141</v>
      </c>
      <c r="D302" s="1633" t="s">
        <v>533</v>
      </c>
      <c r="E302" s="609">
        <f>F302+G302+L306+M303</f>
        <v>22600</v>
      </c>
      <c r="F302" s="610"/>
      <c r="G302" s="1629"/>
      <c r="H302" s="603" t="s">
        <v>24</v>
      </c>
      <c r="I302" s="600"/>
      <c r="J302" s="600"/>
      <c r="K302" s="600"/>
      <c r="L302" s="634"/>
      <c r="M302" s="1630"/>
    </row>
    <row r="303" spans="1:13" ht="18" customHeight="1" x14ac:dyDescent="0.3">
      <c r="A303" s="597">
        <v>294</v>
      </c>
      <c r="B303" s="633"/>
      <c r="C303" s="585"/>
      <c r="D303" s="1622" t="s">
        <v>245</v>
      </c>
      <c r="E303" s="600"/>
      <c r="F303" s="610"/>
      <c r="G303" s="1629"/>
      <c r="H303" s="603"/>
      <c r="I303" s="600"/>
      <c r="J303" s="600">
        <v>22600</v>
      </c>
      <c r="K303" s="600"/>
      <c r="L303" s="613">
        <f>SUM(I303:K303)</f>
        <v>22600</v>
      </c>
      <c r="M303" s="1630"/>
    </row>
    <row r="304" spans="1:13" ht="18" customHeight="1" x14ac:dyDescent="0.3">
      <c r="A304" s="597">
        <v>295</v>
      </c>
      <c r="B304" s="633"/>
      <c r="C304" s="585"/>
      <c r="D304" s="1146" t="s">
        <v>810</v>
      </c>
      <c r="E304" s="600"/>
      <c r="F304" s="610"/>
      <c r="G304" s="1629"/>
      <c r="H304" s="603"/>
      <c r="I304" s="600"/>
      <c r="J304" s="600">
        <v>22600</v>
      </c>
      <c r="K304" s="600"/>
      <c r="L304" s="613">
        <f>SUM(I304:K304)</f>
        <v>22600</v>
      </c>
      <c r="M304" s="1630"/>
    </row>
    <row r="305" spans="1:13" ht="18" customHeight="1" x14ac:dyDescent="0.3">
      <c r="A305" s="597">
        <v>296</v>
      </c>
      <c r="B305" s="633"/>
      <c r="C305" s="585"/>
      <c r="D305" s="910" t="s">
        <v>652</v>
      </c>
      <c r="E305" s="609"/>
      <c r="F305" s="610"/>
      <c r="G305" s="1629"/>
      <c r="H305" s="603"/>
      <c r="I305" s="1631"/>
      <c r="J305" s="1631"/>
      <c r="K305" s="1631"/>
      <c r="L305" s="1214">
        <f>SUM(I305:K305)</f>
        <v>0</v>
      </c>
      <c r="M305" s="1630"/>
    </row>
    <row r="306" spans="1:13" ht="18" customHeight="1" x14ac:dyDescent="0.3">
      <c r="A306" s="597">
        <v>297</v>
      </c>
      <c r="B306" s="633"/>
      <c r="C306" s="585"/>
      <c r="D306" s="1146" t="s">
        <v>858</v>
      </c>
      <c r="E306" s="600"/>
      <c r="F306" s="610"/>
      <c r="G306" s="1629"/>
      <c r="H306" s="603"/>
      <c r="I306" s="600"/>
      <c r="J306" s="600">
        <f>SUM(J304:J305)</f>
        <v>22600</v>
      </c>
      <c r="K306" s="600"/>
      <c r="L306" s="613">
        <f>SUM(I306:K306)</f>
        <v>22600</v>
      </c>
      <c r="M306" s="1630"/>
    </row>
    <row r="307" spans="1:13" ht="66" x14ac:dyDescent="0.3">
      <c r="A307" s="597">
        <v>298</v>
      </c>
      <c r="B307" s="633"/>
      <c r="C307" s="585">
        <v>142</v>
      </c>
      <c r="D307" s="1634" t="s">
        <v>534</v>
      </c>
      <c r="E307" s="609">
        <f>F307+G307+L311+M308</f>
        <v>5164</v>
      </c>
      <c r="F307" s="610"/>
      <c r="G307" s="1629"/>
      <c r="H307" s="603" t="s">
        <v>24</v>
      </c>
      <c r="I307" s="600"/>
      <c r="J307" s="600"/>
      <c r="K307" s="600"/>
      <c r="L307" s="634"/>
      <c r="M307" s="1630"/>
    </row>
    <row r="308" spans="1:13" ht="18" customHeight="1" x14ac:dyDescent="0.3">
      <c r="A308" s="597">
        <v>299</v>
      </c>
      <c r="B308" s="633"/>
      <c r="C308" s="585"/>
      <c r="D308" s="1622" t="s">
        <v>245</v>
      </c>
      <c r="E308" s="609"/>
      <c r="F308" s="610"/>
      <c r="G308" s="1629"/>
      <c r="H308" s="603"/>
      <c r="I308" s="600"/>
      <c r="J308" s="600">
        <v>5164</v>
      </c>
      <c r="K308" s="600"/>
      <c r="L308" s="613">
        <f>SUM(I308:K308)</f>
        <v>5164</v>
      </c>
      <c r="M308" s="1630"/>
    </row>
    <row r="309" spans="1:13" ht="18" customHeight="1" x14ac:dyDescent="0.3">
      <c r="A309" s="597">
        <v>300</v>
      </c>
      <c r="B309" s="633"/>
      <c r="C309" s="585"/>
      <c r="D309" s="1146" t="s">
        <v>810</v>
      </c>
      <c r="E309" s="609"/>
      <c r="F309" s="610"/>
      <c r="G309" s="1629"/>
      <c r="H309" s="603"/>
      <c r="I309" s="600"/>
      <c r="J309" s="600">
        <v>5164</v>
      </c>
      <c r="K309" s="600"/>
      <c r="L309" s="613">
        <f>SUM(I309:K309)</f>
        <v>5164</v>
      </c>
      <c r="M309" s="1630"/>
    </row>
    <row r="310" spans="1:13" ht="18" customHeight="1" x14ac:dyDescent="0.3">
      <c r="A310" s="597">
        <v>301</v>
      </c>
      <c r="B310" s="633"/>
      <c r="C310" s="585"/>
      <c r="D310" s="910" t="s">
        <v>652</v>
      </c>
      <c r="E310" s="609"/>
      <c r="F310" s="610"/>
      <c r="G310" s="1629"/>
      <c r="H310" s="603"/>
      <c r="I310" s="1631"/>
      <c r="J310" s="1631"/>
      <c r="K310" s="1631"/>
      <c r="L310" s="1214">
        <f t="shared" ref="L310:L311" si="22">SUM(I310:K310)</f>
        <v>0</v>
      </c>
      <c r="M310" s="1630"/>
    </row>
    <row r="311" spans="1:13" ht="18" customHeight="1" x14ac:dyDescent="0.3">
      <c r="A311" s="597">
        <v>302</v>
      </c>
      <c r="B311" s="633"/>
      <c r="C311" s="585"/>
      <c r="D311" s="1146" t="s">
        <v>858</v>
      </c>
      <c r="E311" s="609"/>
      <c r="F311" s="610"/>
      <c r="G311" s="1629"/>
      <c r="H311" s="603"/>
      <c r="I311" s="600"/>
      <c r="J311" s="600">
        <f>SUM(J309:J310)</f>
        <v>5164</v>
      </c>
      <c r="K311" s="600"/>
      <c r="L311" s="613">
        <f t="shared" si="22"/>
        <v>5164</v>
      </c>
      <c r="M311" s="1630"/>
    </row>
    <row r="312" spans="1:13" ht="33" x14ac:dyDescent="0.3">
      <c r="A312" s="597">
        <v>303</v>
      </c>
      <c r="B312" s="633"/>
      <c r="C312" s="585">
        <v>143</v>
      </c>
      <c r="D312" s="1634" t="s">
        <v>535</v>
      </c>
      <c r="E312" s="609">
        <f>F312+G312+L316+M313</f>
        <v>4847</v>
      </c>
      <c r="F312" s="610"/>
      <c r="G312" s="1629"/>
      <c r="H312" s="603" t="s">
        <v>24</v>
      </c>
      <c r="I312" s="600"/>
      <c r="J312" s="600"/>
      <c r="K312" s="600"/>
      <c r="L312" s="634"/>
      <c r="M312" s="1630"/>
    </row>
    <row r="313" spans="1:13" ht="18" customHeight="1" x14ac:dyDescent="0.3">
      <c r="A313" s="597">
        <v>304</v>
      </c>
      <c r="B313" s="633"/>
      <c r="C313" s="585"/>
      <c r="D313" s="1622" t="s">
        <v>245</v>
      </c>
      <c r="E313" s="609"/>
      <c r="F313" s="610"/>
      <c r="G313" s="1629"/>
      <c r="H313" s="603"/>
      <c r="I313" s="600"/>
      <c r="J313" s="600">
        <v>4847</v>
      </c>
      <c r="K313" s="600"/>
      <c r="L313" s="613">
        <f>SUM(I313:K313)</f>
        <v>4847</v>
      </c>
      <c r="M313" s="1630"/>
    </row>
    <row r="314" spans="1:13" ht="18" customHeight="1" x14ac:dyDescent="0.3">
      <c r="A314" s="597">
        <v>305</v>
      </c>
      <c r="B314" s="633"/>
      <c r="C314" s="585"/>
      <c r="D314" s="1146" t="s">
        <v>810</v>
      </c>
      <c r="E314" s="609"/>
      <c r="F314" s="610"/>
      <c r="G314" s="1629"/>
      <c r="H314" s="603"/>
      <c r="I314" s="600"/>
      <c r="J314" s="600">
        <v>4847</v>
      </c>
      <c r="K314" s="600"/>
      <c r="L314" s="613">
        <f>SUM(I314:K314)</f>
        <v>4847</v>
      </c>
      <c r="M314" s="1630"/>
    </row>
    <row r="315" spans="1:13" ht="18" customHeight="1" x14ac:dyDescent="0.3">
      <c r="A315" s="597">
        <v>306</v>
      </c>
      <c r="B315" s="633"/>
      <c r="C315" s="585"/>
      <c r="D315" s="910" t="s">
        <v>652</v>
      </c>
      <c r="E315" s="609"/>
      <c r="F315" s="610"/>
      <c r="G315" s="1629"/>
      <c r="H315" s="603"/>
      <c r="I315" s="1631"/>
      <c r="J315" s="1631"/>
      <c r="K315" s="1631"/>
      <c r="L315" s="1214">
        <f t="shared" ref="L315:L316" si="23">SUM(I315:K315)</f>
        <v>0</v>
      </c>
      <c r="M315" s="1630"/>
    </row>
    <row r="316" spans="1:13" ht="18" customHeight="1" x14ac:dyDescent="0.3">
      <c r="A316" s="597">
        <v>307</v>
      </c>
      <c r="B316" s="633"/>
      <c r="C316" s="585"/>
      <c r="D316" s="1146" t="s">
        <v>858</v>
      </c>
      <c r="E316" s="609"/>
      <c r="F316" s="610"/>
      <c r="G316" s="1629"/>
      <c r="H316" s="603"/>
      <c r="I316" s="600"/>
      <c r="J316" s="600">
        <f>SUM(J314:J315)</f>
        <v>4847</v>
      </c>
      <c r="K316" s="600"/>
      <c r="L316" s="613">
        <f t="shared" si="23"/>
        <v>4847</v>
      </c>
      <c r="M316" s="1630"/>
    </row>
    <row r="317" spans="1:13" ht="22.35" customHeight="1" x14ac:dyDescent="0.3">
      <c r="A317" s="597">
        <v>308</v>
      </c>
      <c r="B317" s="633"/>
      <c r="C317" s="615">
        <v>144</v>
      </c>
      <c r="D317" s="1634" t="s">
        <v>536</v>
      </c>
      <c r="E317" s="609">
        <f>F317+G317+L321+M318</f>
        <v>0</v>
      </c>
      <c r="F317" s="610"/>
      <c r="G317" s="1629"/>
      <c r="H317" s="603" t="s">
        <v>24</v>
      </c>
      <c r="I317" s="600"/>
      <c r="J317" s="600"/>
      <c r="K317" s="600"/>
      <c r="L317" s="634"/>
      <c r="M317" s="1630"/>
    </row>
    <row r="318" spans="1:13" ht="18" customHeight="1" x14ac:dyDescent="0.3">
      <c r="A318" s="597">
        <v>309</v>
      </c>
      <c r="B318" s="633"/>
      <c r="C318" s="585"/>
      <c r="D318" s="1622" t="s">
        <v>245</v>
      </c>
      <c r="E318" s="609"/>
      <c r="F318" s="610"/>
      <c r="G318" s="1629"/>
      <c r="H318" s="603"/>
      <c r="I318" s="600"/>
      <c r="J318" s="600">
        <v>4297</v>
      </c>
      <c r="K318" s="600"/>
      <c r="L318" s="613">
        <f>SUM(I318:K318)</f>
        <v>4297</v>
      </c>
      <c r="M318" s="1630"/>
    </row>
    <row r="319" spans="1:13" ht="18" customHeight="1" x14ac:dyDescent="0.3">
      <c r="A319" s="597">
        <v>310</v>
      </c>
      <c r="B319" s="633"/>
      <c r="C319" s="585"/>
      <c r="D319" s="1146" t="s">
        <v>810</v>
      </c>
      <c r="E319" s="609"/>
      <c r="F319" s="610"/>
      <c r="G319" s="1629"/>
      <c r="H319" s="603"/>
      <c r="I319" s="600"/>
      <c r="J319" s="600">
        <v>0</v>
      </c>
      <c r="K319" s="600"/>
      <c r="L319" s="613">
        <f>SUM(I319:K319)</f>
        <v>0</v>
      </c>
      <c r="M319" s="1630"/>
    </row>
    <row r="320" spans="1:13" ht="18" customHeight="1" x14ac:dyDescent="0.3">
      <c r="A320" s="597">
        <v>311</v>
      </c>
      <c r="B320" s="633"/>
      <c r="C320" s="585"/>
      <c r="D320" s="910" t="s">
        <v>652</v>
      </c>
      <c r="E320" s="609"/>
      <c r="F320" s="610"/>
      <c r="G320" s="1629"/>
      <c r="H320" s="603"/>
      <c r="I320" s="1631"/>
      <c r="J320" s="1631">
        <v>0</v>
      </c>
      <c r="K320" s="1631"/>
      <c r="L320" s="1214">
        <f t="shared" ref="L320:L325" si="24">SUM(I320:K320)</f>
        <v>0</v>
      </c>
      <c r="M320" s="1630"/>
    </row>
    <row r="321" spans="1:13" ht="18" customHeight="1" x14ac:dyDescent="0.3">
      <c r="A321" s="597">
        <v>312</v>
      </c>
      <c r="B321" s="633"/>
      <c r="C321" s="585"/>
      <c r="D321" s="1146" t="s">
        <v>858</v>
      </c>
      <c r="E321" s="609"/>
      <c r="F321" s="610"/>
      <c r="G321" s="1629"/>
      <c r="H321" s="603"/>
      <c r="I321" s="600"/>
      <c r="J321" s="600">
        <f>SUM(J319:J320)</f>
        <v>0</v>
      </c>
      <c r="K321" s="600"/>
      <c r="L321" s="613">
        <f t="shared" si="24"/>
        <v>0</v>
      </c>
      <c r="M321" s="1630"/>
    </row>
    <row r="322" spans="1:13" ht="22.5" customHeight="1" x14ac:dyDescent="0.3">
      <c r="A322" s="597">
        <v>313</v>
      </c>
      <c r="B322" s="633"/>
      <c r="C322" s="585">
        <v>145</v>
      </c>
      <c r="D322" s="1634" t="s">
        <v>590</v>
      </c>
      <c r="E322" s="609">
        <f>F322+G322+L325</f>
        <v>1200</v>
      </c>
      <c r="F322" s="610"/>
      <c r="G322" s="1629">
        <v>500</v>
      </c>
      <c r="H322" s="603" t="s">
        <v>24</v>
      </c>
      <c r="I322" s="600"/>
      <c r="J322" s="600"/>
      <c r="K322" s="600"/>
      <c r="L322" s="634"/>
      <c r="M322" s="1630"/>
    </row>
    <row r="323" spans="1:13" ht="18" customHeight="1" x14ac:dyDescent="0.3">
      <c r="A323" s="597">
        <v>314</v>
      </c>
      <c r="B323" s="633"/>
      <c r="C323" s="585"/>
      <c r="D323" s="1146" t="s">
        <v>810</v>
      </c>
      <c r="E323" s="609"/>
      <c r="F323" s="610"/>
      <c r="G323" s="1629"/>
      <c r="H323" s="603"/>
      <c r="I323" s="600"/>
      <c r="J323" s="600"/>
      <c r="K323" s="600">
        <v>700</v>
      </c>
      <c r="L323" s="1214">
        <f t="shared" si="24"/>
        <v>700</v>
      </c>
      <c r="M323" s="1630"/>
    </row>
    <row r="324" spans="1:13" ht="18" customHeight="1" x14ac:dyDescent="0.3">
      <c r="A324" s="597">
        <v>315</v>
      </c>
      <c r="B324" s="633"/>
      <c r="C324" s="585"/>
      <c r="D324" s="910" t="s">
        <v>652</v>
      </c>
      <c r="E324" s="609"/>
      <c r="F324" s="610"/>
      <c r="G324" s="1629"/>
      <c r="H324" s="603"/>
      <c r="I324" s="600"/>
      <c r="J324" s="600"/>
      <c r="K324" s="1631"/>
      <c r="L324" s="1214">
        <f t="shared" si="24"/>
        <v>0</v>
      </c>
      <c r="M324" s="1630"/>
    </row>
    <row r="325" spans="1:13" ht="18" customHeight="1" x14ac:dyDescent="0.3">
      <c r="A325" s="597">
        <v>316</v>
      </c>
      <c r="B325" s="633"/>
      <c r="C325" s="585"/>
      <c r="D325" s="1146" t="s">
        <v>858</v>
      </c>
      <c r="E325" s="609"/>
      <c r="F325" s="610"/>
      <c r="G325" s="1629"/>
      <c r="H325" s="603"/>
      <c r="I325" s="600"/>
      <c r="J325" s="600"/>
      <c r="K325" s="600">
        <f>SUM(K323:K324)</f>
        <v>700</v>
      </c>
      <c r="L325" s="613">
        <f t="shared" si="24"/>
        <v>700</v>
      </c>
      <c r="M325" s="1630"/>
    </row>
    <row r="326" spans="1:13" ht="33" x14ac:dyDescent="0.3">
      <c r="A326" s="597">
        <v>317</v>
      </c>
      <c r="B326" s="633"/>
      <c r="C326" s="585">
        <v>146</v>
      </c>
      <c r="D326" s="1634" t="s">
        <v>537</v>
      </c>
      <c r="E326" s="609">
        <f>F326+G326+L330+M327</f>
        <v>19050</v>
      </c>
      <c r="F326" s="610"/>
      <c r="G326" s="1629"/>
      <c r="H326" s="603" t="s">
        <v>24</v>
      </c>
      <c r="I326" s="600"/>
      <c r="J326" s="600"/>
      <c r="K326" s="600"/>
      <c r="L326" s="634"/>
      <c r="M326" s="1630"/>
    </row>
    <row r="327" spans="1:13" ht="18" customHeight="1" x14ac:dyDescent="0.3">
      <c r="A327" s="597">
        <v>318</v>
      </c>
      <c r="B327" s="633"/>
      <c r="C327" s="585"/>
      <c r="D327" s="1622" t="s">
        <v>245</v>
      </c>
      <c r="E327" s="609"/>
      <c r="F327" s="610"/>
      <c r="G327" s="1629"/>
      <c r="H327" s="603"/>
      <c r="I327" s="600"/>
      <c r="J327" s="600">
        <v>19050</v>
      </c>
      <c r="K327" s="600"/>
      <c r="L327" s="613">
        <f>SUM(I327:K327)</f>
        <v>19050</v>
      </c>
      <c r="M327" s="1630"/>
    </row>
    <row r="328" spans="1:13" ht="18" customHeight="1" x14ac:dyDescent="0.3">
      <c r="A328" s="597">
        <v>319</v>
      </c>
      <c r="B328" s="633"/>
      <c r="C328" s="585"/>
      <c r="D328" s="1146" t="s">
        <v>810</v>
      </c>
      <c r="E328" s="609"/>
      <c r="F328" s="610"/>
      <c r="G328" s="1629"/>
      <c r="H328" s="603"/>
      <c r="I328" s="600"/>
      <c r="J328" s="600">
        <v>19050</v>
      </c>
      <c r="K328" s="600"/>
      <c r="L328" s="613">
        <f>SUM(I328:K328)</f>
        <v>19050</v>
      </c>
      <c r="M328" s="1630"/>
    </row>
    <row r="329" spans="1:13" ht="18" customHeight="1" x14ac:dyDescent="0.3">
      <c r="A329" s="597">
        <v>320</v>
      </c>
      <c r="B329" s="633"/>
      <c r="C329" s="585"/>
      <c r="D329" s="910" t="s">
        <v>652</v>
      </c>
      <c r="E329" s="609"/>
      <c r="F329" s="610"/>
      <c r="G329" s="1629"/>
      <c r="H329" s="603"/>
      <c r="I329" s="1631"/>
      <c r="J329" s="1631"/>
      <c r="K329" s="1631"/>
      <c r="L329" s="1214">
        <f t="shared" ref="L329:L330" si="25">SUM(I329:K329)</f>
        <v>0</v>
      </c>
      <c r="M329" s="1630"/>
    </row>
    <row r="330" spans="1:13" ht="18" customHeight="1" x14ac:dyDescent="0.3">
      <c r="A330" s="597">
        <v>321</v>
      </c>
      <c r="B330" s="633"/>
      <c r="C330" s="585"/>
      <c r="D330" s="1146" t="s">
        <v>858</v>
      </c>
      <c r="E330" s="609"/>
      <c r="F330" s="610"/>
      <c r="G330" s="1629"/>
      <c r="H330" s="603"/>
      <c r="I330" s="600"/>
      <c r="J330" s="600">
        <f>SUM(J328:J329)</f>
        <v>19050</v>
      </c>
      <c r="K330" s="600"/>
      <c r="L330" s="613">
        <f t="shared" si="25"/>
        <v>19050</v>
      </c>
      <c r="M330" s="1630"/>
    </row>
    <row r="331" spans="1:13" ht="22.35" customHeight="1" x14ac:dyDescent="0.3">
      <c r="A331" s="597">
        <v>322</v>
      </c>
      <c r="B331" s="633"/>
      <c r="C331" s="615">
        <v>148</v>
      </c>
      <c r="D331" s="1605" t="s">
        <v>538</v>
      </c>
      <c r="E331" s="609">
        <f>F331+G331+L335+M332</f>
        <v>10800</v>
      </c>
      <c r="F331" s="610"/>
      <c r="G331" s="1629"/>
      <c r="H331" s="603" t="s">
        <v>24</v>
      </c>
      <c r="I331" s="600"/>
      <c r="J331" s="600"/>
      <c r="K331" s="600"/>
      <c r="L331" s="634"/>
      <c r="M331" s="1630"/>
    </row>
    <row r="332" spans="1:13" ht="18" customHeight="1" x14ac:dyDescent="0.3">
      <c r="A332" s="597">
        <v>323</v>
      </c>
      <c r="B332" s="633"/>
      <c r="C332" s="585"/>
      <c r="D332" s="1622" t="s">
        <v>245</v>
      </c>
      <c r="E332" s="609"/>
      <c r="F332" s="610"/>
      <c r="G332" s="1629"/>
      <c r="H332" s="603"/>
      <c r="I332" s="600"/>
      <c r="J332" s="600">
        <v>10800</v>
      </c>
      <c r="K332" s="600"/>
      <c r="L332" s="613">
        <f>SUM(I332:K332)</f>
        <v>10800</v>
      </c>
      <c r="M332" s="1630"/>
    </row>
    <row r="333" spans="1:13" ht="18" customHeight="1" x14ac:dyDescent="0.3">
      <c r="A333" s="597">
        <v>324</v>
      </c>
      <c r="B333" s="633"/>
      <c r="C333" s="585"/>
      <c r="D333" s="1146" t="s">
        <v>810</v>
      </c>
      <c r="E333" s="609"/>
      <c r="F333" s="610"/>
      <c r="G333" s="1629"/>
      <c r="H333" s="603"/>
      <c r="I333" s="600"/>
      <c r="J333" s="600">
        <v>10800</v>
      </c>
      <c r="K333" s="600"/>
      <c r="L333" s="613">
        <f>SUM(I333:K333)</f>
        <v>10800</v>
      </c>
      <c r="M333" s="1630"/>
    </row>
    <row r="334" spans="1:13" ht="18" customHeight="1" x14ac:dyDescent="0.3">
      <c r="A334" s="597">
        <v>325</v>
      </c>
      <c r="B334" s="633"/>
      <c r="C334" s="585"/>
      <c r="D334" s="910" t="s">
        <v>652</v>
      </c>
      <c r="E334" s="609"/>
      <c r="F334" s="610"/>
      <c r="G334" s="1629"/>
      <c r="H334" s="603"/>
      <c r="I334" s="1631"/>
      <c r="J334" s="1631"/>
      <c r="K334" s="1631"/>
      <c r="L334" s="1214">
        <f t="shared" ref="L334:L335" si="26">SUM(I334:K334)</f>
        <v>0</v>
      </c>
      <c r="M334" s="1630"/>
    </row>
    <row r="335" spans="1:13" ht="18" customHeight="1" x14ac:dyDescent="0.3">
      <c r="A335" s="597">
        <v>326</v>
      </c>
      <c r="B335" s="633"/>
      <c r="C335" s="585"/>
      <c r="D335" s="1146" t="s">
        <v>858</v>
      </c>
      <c r="E335" s="609"/>
      <c r="F335" s="610"/>
      <c r="G335" s="1629"/>
      <c r="H335" s="603"/>
      <c r="I335" s="600"/>
      <c r="J335" s="600">
        <f>SUM(J333:J334)</f>
        <v>10800</v>
      </c>
      <c r="K335" s="600"/>
      <c r="L335" s="613">
        <f t="shared" si="26"/>
        <v>10800</v>
      </c>
      <c r="M335" s="1630"/>
    </row>
    <row r="336" spans="1:13" ht="22.35" customHeight="1" x14ac:dyDescent="0.3">
      <c r="A336" s="597">
        <v>327</v>
      </c>
      <c r="B336" s="633"/>
      <c r="C336" s="615">
        <v>149</v>
      </c>
      <c r="D336" s="1605" t="s">
        <v>539</v>
      </c>
      <c r="E336" s="609">
        <f>F336+G336+L340+M337</f>
        <v>7500</v>
      </c>
      <c r="F336" s="610"/>
      <c r="G336" s="1629"/>
      <c r="H336" s="603" t="s">
        <v>24</v>
      </c>
      <c r="I336" s="600"/>
      <c r="J336" s="600"/>
      <c r="K336" s="600"/>
      <c r="L336" s="634"/>
      <c r="M336" s="1630"/>
    </row>
    <row r="337" spans="1:13" ht="18" customHeight="1" x14ac:dyDescent="0.3">
      <c r="A337" s="597">
        <v>328</v>
      </c>
      <c r="B337" s="633"/>
      <c r="C337" s="585"/>
      <c r="D337" s="1622" t="s">
        <v>245</v>
      </c>
      <c r="E337" s="600"/>
      <c r="F337" s="610"/>
      <c r="G337" s="1629"/>
      <c r="H337" s="603"/>
      <c r="I337" s="600"/>
      <c r="J337" s="600">
        <v>4000</v>
      </c>
      <c r="K337" s="600"/>
      <c r="L337" s="613">
        <f>SUM(I337:K337)</f>
        <v>4000</v>
      </c>
      <c r="M337" s="1630"/>
    </row>
    <row r="338" spans="1:13" ht="18" customHeight="1" x14ac:dyDescent="0.3">
      <c r="A338" s="597">
        <v>329</v>
      </c>
      <c r="B338" s="633"/>
      <c r="C338" s="585"/>
      <c r="D338" s="1146" t="s">
        <v>810</v>
      </c>
      <c r="E338" s="600"/>
      <c r="F338" s="610"/>
      <c r="G338" s="1629"/>
      <c r="H338" s="603"/>
      <c r="I338" s="600"/>
      <c r="J338" s="600">
        <v>9000</v>
      </c>
      <c r="K338" s="600"/>
      <c r="L338" s="613">
        <f>SUM(I338:K338)</f>
        <v>9000</v>
      </c>
      <c r="M338" s="1630"/>
    </row>
    <row r="339" spans="1:13" ht="18" customHeight="1" x14ac:dyDescent="0.3">
      <c r="A339" s="597">
        <v>330</v>
      </c>
      <c r="B339" s="633"/>
      <c r="C339" s="585"/>
      <c r="D339" s="910" t="s">
        <v>897</v>
      </c>
      <c r="E339" s="609"/>
      <c r="F339" s="610"/>
      <c r="G339" s="1629"/>
      <c r="H339" s="603"/>
      <c r="I339" s="1631"/>
      <c r="J339" s="1631">
        <v>-1500</v>
      </c>
      <c r="K339" s="1631"/>
      <c r="L339" s="1214">
        <f t="shared" ref="L339:L340" si="27">SUM(I339:K339)</f>
        <v>-1500</v>
      </c>
      <c r="M339" s="1630"/>
    </row>
    <row r="340" spans="1:13" ht="18" customHeight="1" x14ac:dyDescent="0.3">
      <c r="A340" s="597">
        <v>331</v>
      </c>
      <c r="B340" s="633"/>
      <c r="C340" s="585"/>
      <c r="D340" s="1146" t="s">
        <v>858</v>
      </c>
      <c r="E340" s="600"/>
      <c r="F340" s="610"/>
      <c r="G340" s="1629"/>
      <c r="H340" s="603"/>
      <c r="I340" s="600"/>
      <c r="J340" s="600">
        <f>SUM(J338:J339)</f>
        <v>7500</v>
      </c>
      <c r="K340" s="600"/>
      <c r="L340" s="613">
        <f t="shared" si="27"/>
        <v>7500</v>
      </c>
      <c r="M340" s="1630"/>
    </row>
    <row r="341" spans="1:13" ht="22.35" customHeight="1" x14ac:dyDescent="0.3">
      <c r="A341" s="597">
        <v>332</v>
      </c>
      <c r="B341" s="633"/>
      <c r="C341" s="615">
        <v>150</v>
      </c>
      <c r="D341" s="1605" t="s">
        <v>540</v>
      </c>
      <c r="E341" s="609">
        <f>F341+G341+L345+M342</f>
        <v>3000</v>
      </c>
      <c r="F341" s="610"/>
      <c r="G341" s="1629"/>
      <c r="H341" s="603" t="s">
        <v>24</v>
      </c>
      <c r="I341" s="600"/>
      <c r="J341" s="600"/>
      <c r="K341" s="600"/>
      <c r="L341" s="634"/>
      <c r="M341" s="1630"/>
    </row>
    <row r="342" spans="1:13" ht="18" customHeight="1" x14ac:dyDescent="0.3">
      <c r="A342" s="597">
        <v>333</v>
      </c>
      <c r="B342" s="633"/>
      <c r="C342" s="585"/>
      <c r="D342" s="1622" t="s">
        <v>245</v>
      </c>
      <c r="E342" s="600"/>
      <c r="F342" s="610"/>
      <c r="G342" s="1629"/>
      <c r="H342" s="603"/>
      <c r="I342" s="600"/>
      <c r="J342" s="600">
        <v>3000</v>
      </c>
      <c r="K342" s="600"/>
      <c r="L342" s="613">
        <f>SUM(I342:K342)</f>
        <v>3000</v>
      </c>
      <c r="M342" s="1630"/>
    </row>
    <row r="343" spans="1:13" ht="18" customHeight="1" x14ac:dyDescent="0.3">
      <c r="A343" s="597">
        <v>334</v>
      </c>
      <c r="B343" s="633"/>
      <c r="C343" s="585"/>
      <c r="D343" s="1146" t="s">
        <v>810</v>
      </c>
      <c r="E343" s="600"/>
      <c r="F343" s="610"/>
      <c r="G343" s="1629"/>
      <c r="H343" s="603"/>
      <c r="I343" s="600"/>
      <c r="J343" s="600">
        <v>3000</v>
      </c>
      <c r="K343" s="600"/>
      <c r="L343" s="613">
        <f>SUM(I343:K343)</f>
        <v>3000</v>
      </c>
      <c r="M343" s="1630"/>
    </row>
    <row r="344" spans="1:13" ht="18" customHeight="1" x14ac:dyDescent="0.3">
      <c r="A344" s="597">
        <v>335</v>
      </c>
      <c r="B344" s="633"/>
      <c r="C344" s="585"/>
      <c r="D344" s="910" t="s">
        <v>652</v>
      </c>
      <c r="E344" s="600"/>
      <c r="F344" s="610"/>
      <c r="G344" s="1629"/>
      <c r="H344" s="603"/>
      <c r="I344" s="1631"/>
      <c r="J344" s="1631"/>
      <c r="K344" s="1631"/>
      <c r="L344" s="1214">
        <f t="shared" ref="L344:L345" si="28">SUM(I344:K344)</f>
        <v>0</v>
      </c>
      <c r="M344" s="1630"/>
    </row>
    <row r="345" spans="1:13" ht="18" customHeight="1" x14ac:dyDescent="0.3">
      <c r="A345" s="597">
        <v>336</v>
      </c>
      <c r="B345" s="633"/>
      <c r="C345" s="585"/>
      <c r="D345" s="1146" t="s">
        <v>858</v>
      </c>
      <c r="E345" s="600"/>
      <c r="F345" s="610"/>
      <c r="G345" s="1629"/>
      <c r="H345" s="603"/>
      <c r="I345" s="600"/>
      <c r="J345" s="600">
        <f>SUM(J343:J344)</f>
        <v>3000</v>
      </c>
      <c r="K345" s="600"/>
      <c r="L345" s="613">
        <f t="shared" si="28"/>
        <v>3000</v>
      </c>
      <c r="M345" s="1630"/>
    </row>
    <row r="346" spans="1:13" ht="22.35" customHeight="1" x14ac:dyDescent="0.3">
      <c r="A346" s="597">
        <v>337</v>
      </c>
      <c r="B346" s="633"/>
      <c r="C346" s="615">
        <v>151</v>
      </c>
      <c r="D346" s="1605" t="s">
        <v>647</v>
      </c>
      <c r="E346" s="609">
        <f>F346+G346+L350+M347</f>
        <v>5000</v>
      </c>
      <c r="F346" s="610"/>
      <c r="G346" s="1629"/>
      <c r="H346" s="603" t="s">
        <v>24</v>
      </c>
      <c r="I346" s="600"/>
      <c r="J346" s="600"/>
      <c r="K346" s="600"/>
      <c r="L346" s="634"/>
      <c r="M346" s="1630"/>
    </row>
    <row r="347" spans="1:13" ht="18" customHeight="1" x14ac:dyDescent="0.3">
      <c r="A347" s="597">
        <v>338</v>
      </c>
      <c r="B347" s="633"/>
      <c r="C347" s="585"/>
      <c r="D347" s="1622" t="s">
        <v>245</v>
      </c>
      <c r="E347" s="600"/>
      <c r="F347" s="610"/>
      <c r="G347" s="1629"/>
      <c r="H347" s="603"/>
      <c r="I347" s="600"/>
      <c r="J347" s="600">
        <v>5000</v>
      </c>
      <c r="K347" s="600"/>
      <c r="L347" s="613">
        <f>SUM(I347:K347)</f>
        <v>5000</v>
      </c>
      <c r="M347" s="1630"/>
    </row>
    <row r="348" spans="1:13" ht="18" customHeight="1" x14ac:dyDescent="0.3">
      <c r="A348" s="597">
        <v>339</v>
      </c>
      <c r="B348" s="633"/>
      <c r="C348" s="585"/>
      <c r="D348" s="1146" t="s">
        <v>810</v>
      </c>
      <c r="E348" s="600"/>
      <c r="F348" s="610"/>
      <c r="G348" s="1629"/>
      <c r="H348" s="603"/>
      <c r="I348" s="600"/>
      <c r="J348" s="600">
        <v>5000</v>
      </c>
      <c r="K348" s="600"/>
      <c r="L348" s="613">
        <f>SUM(I348:K348)</f>
        <v>5000</v>
      </c>
      <c r="M348" s="1630"/>
    </row>
    <row r="349" spans="1:13" ht="18" customHeight="1" x14ac:dyDescent="0.3">
      <c r="A349" s="597">
        <v>340</v>
      </c>
      <c r="B349" s="633"/>
      <c r="C349" s="585"/>
      <c r="D349" s="910" t="s">
        <v>652</v>
      </c>
      <c r="E349" s="600"/>
      <c r="F349" s="610"/>
      <c r="G349" s="1629"/>
      <c r="H349" s="603"/>
      <c r="I349" s="600"/>
      <c r="J349" s="600"/>
      <c r="K349" s="600"/>
      <c r="L349" s="613">
        <f t="shared" ref="L349:L350" si="29">SUM(I349:K349)</f>
        <v>0</v>
      </c>
      <c r="M349" s="1630"/>
    </row>
    <row r="350" spans="1:13" ht="18" customHeight="1" x14ac:dyDescent="0.3">
      <c r="A350" s="597">
        <v>341</v>
      </c>
      <c r="B350" s="633"/>
      <c r="C350" s="585"/>
      <c r="D350" s="1146" t="s">
        <v>858</v>
      </c>
      <c r="E350" s="600"/>
      <c r="F350" s="610"/>
      <c r="G350" s="1629"/>
      <c r="H350" s="603"/>
      <c r="I350" s="600"/>
      <c r="J350" s="600">
        <f>SUM(J348:J349)</f>
        <v>5000</v>
      </c>
      <c r="K350" s="600"/>
      <c r="L350" s="613">
        <f t="shared" si="29"/>
        <v>5000</v>
      </c>
      <c r="M350" s="1630"/>
    </row>
    <row r="351" spans="1:13" ht="22.35" customHeight="1" x14ac:dyDescent="0.3">
      <c r="A351" s="597">
        <v>342</v>
      </c>
      <c r="B351" s="633"/>
      <c r="C351" s="615">
        <v>152</v>
      </c>
      <c r="D351" s="1605" t="s">
        <v>541</v>
      </c>
      <c r="E351" s="609">
        <f>F351+G351+L355+M352</f>
        <v>4400</v>
      </c>
      <c r="F351" s="610"/>
      <c r="G351" s="1629"/>
      <c r="H351" s="603" t="s">
        <v>24</v>
      </c>
      <c r="I351" s="600"/>
      <c r="J351" s="600"/>
      <c r="K351" s="600"/>
      <c r="L351" s="634"/>
      <c r="M351" s="1630"/>
    </row>
    <row r="352" spans="1:13" ht="18" customHeight="1" x14ac:dyDescent="0.3">
      <c r="A352" s="597">
        <v>343</v>
      </c>
      <c r="B352" s="633"/>
      <c r="C352" s="585"/>
      <c r="D352" s="1622" t="s">
        <v>245</v>
      </c>
      <c r="E352" s="600"/>
      <c r="F352" s="610"/>
      <c r="G352" s="1629"/>
      <c r="H352" s="603"/>
      <c r="I352" s="600"/>
      <c r="J352" s="600">
        <v>4400</v>
      </c>
      <c r="K352" s="600"/>
      <c r="L352" s="613">
        <f>SUM(I352:K352)</f>
        <v>4400</v>
      </c>
      <c r="M352" s="1630"/>
    </row>
    <row r="353" spans="1:13" ht="18" customHeight="1" x14ac:dyDescent="0.3">
      <c r="A353" s="597">
        <v>344</v>
      </c>
      <c r="B353" s="633"/>
      <c r="C353" s="585"/>
      <c r="D353" s="1146" t="s">
        <v>810</v>
      </c>
      <c r="E353" s="600"/>
      <c r="F353" s="610"/>
      <c r="G353" s="1629"/>
      <c r="H353" s="603"/>
      <c r="I353" s="600"/>
      <c r="J353" s="600">
        <v>4400</v>
      </c>
      <c r="K353" s="600"/>
      <c r="L353" s="613">
        <f>SUM(I353:K353)</f>
        <v>4400</v>
      </c>
      <c r="M353" s="1630"/>
    </row>
    <row r="354" spans="1:13" ht="18" customHeight="1" x14ac:dyDescent="0.3">
      <c r="A354" s="597">
        <v>345</v>
      </c>
      <c r="B354" s="633"/>
      <c r="C354" s="585"/>
      <c r="D354" s="910" t="s">
        <v>652</v>
      </c>
      <c r="E354" s="600"/>
      <c r="F354" s="610"/>
      <c r="G354" s="1629"/>
      <c r="H354" s="603"/>
      <c r="I354" s="1631"/>
      <c r="J354" s="1631"/>
      <c r="K354" s="1631"/>
      <c r="L354" s="1214">
        <f t="shared" ref="L354:L355" si="30">SUM(I354:K354)</f>
        <v>0</v>
      </c>
      <c r="M354" s="1630"/>
    </row>
    <row r="355" spans="1:13" ht="18" customHeight="1" x14ac:dyDescent="0.3">
      <c r="A355" s="597">
        <v>346</v>
      </c>
      <c r="B355" s="633"/>
      <c r="C355" s="585"/>
      <c r="D355" s="1146" t="s">
        <v>858</v>
      </c>
      <c r="E355" s="600"/>
      <c r="F355" s="610"/>
      <c r="G355" s="1629"/>
      <c r="H355" s="603"/>
      <c r="I355" s="600"/>
      <c r="J355" s="600">
        <f>SUM(J353:J354)</f>
        <v>4400</v>
      </c>
      <c r="K355" s="600"/>
      <c r="L355" s="613">
        <f t="shared" si="30"/>
        <v>4400</v>
      </c>
      <c r="M355" s="1630"/>
    </row>
    <row r="356" spans="1:13" ht="22.35" customHeight="1" x14ac:dyDescent="0.3">
      <c r="A356" s="597">
        <v>347</v>
      </c>
      <c r="B356" s="633"/>
      <c r="C356" s="615">
        <v>153</v>
      </c>
      <c r="D356" s="1605" t="s">
        <v>542</v>
      </c>
      <c r="E356" s="609">
        <f>F356+G356+L360+M357</f>
        <v>18000</v>
      </c>
      <c r="F356" s="610"/>
      <c r="G356" s="1629"/>
      <c r="H356" s="603" t="s">
        <v>24</v>
      </c>
      <c r="I356" s="600"/>
      <c r="J356" s="600"/>
      <c r="K356" s="600"/>
      <c r="L356" s="634"/>
      <c r="M356" s="1630"/>
    </row>
    <row r="357" spans="1:13" ht="18" customHeight="1" x14ac:dyDescent="0.3">
      <c r="A357" s="597">
        <v>348</v>
      </c>
      <c r="B357" s="633"/>
      <c r="C357" s="585"/>
      <c r="D357" s="1622" t="s">
        <v>245</v>
      </c>
      <c r="E357" s="600"/>
      <c r="F357" s="610"/>
      <c r="G357" s="1629"/>
      <c r="H357" s="603"/>
      <c r="I357" s="600"/>
      <c r="J357" s="600">
        <v>18000</v>
      </c>
      <c r="K357" s="600"/>
      <c r="L357" s="613">
        <f>SUM(I357:K357)</f>
        <v>18000</v>
      </c>
      <c r="M357" s="1630"/>
    </row>
    <row r="358" spans="1:13" ht="18" customHeight="1" x14ac:dyDescent="0.3">
      <c r="A358" s="597">
        <v>349</v>
      </c>
      <c r="B358" s="633"/>
      <c r="C358" s="585"/>
      <c r="D358" s="1146" t="s">
        <v>810</v>
      </c>
      <c r="E358" s="600"/>
      <c r="F358" s="610"/>
      <c r="G358" s="1629"/>
      <c r="H358" s="603"/>
      <c r="I358" s="600"/>
      <c r="J358" s="600">
        <v>18000</v>
      </c>
      <c r="K358" s="600"/>
      <c r="L358" s="613">
        <f>SUM(I358:K358)</f>
        <v>18000</v>
      </c>
      <c r="M358" s="1630"/>
    </row>
    <row r="359" spans="1:13" ht="18" customHeight="1" x14ac:dyDescent="0.3">
      <c r="A359" s="597">
        <v>350</v>
      </c>
      <c r="B359" s="633"/>
      <c r="C359" s="585"/>
      <c r="D359" s="910" t="s">
        <v>652</v>
      </c>
      <c r="E359" s="600"/>
      <c r="F359" s="610"/>
      <c r="G359" s="1629"/>
      <c r="H359" s="603"/>
      <c r="I359" s="1631"/>
      <c r="J359" s="1631"/>
      <c r="K359" s="1631"/>
      <c r="L359" s="1214">
        <f t="shared" ref="L359:L360" si="31">SUM(I359:K359)</f>
        <v>0</v>
      </c>
      <c r="M359" s="1630"/>
    </row>
    <row r="360" spans="1:13" ht="18" customHeight="1" x14ac:dyDescent="0.3">
      <c r="A360" s="597">
        <v>351</v>
      </c>
      <c r="B360" s="633"/>
      <c r="C360" s="585"/>
      <c r="D360" s="1146" t="s">
        <v>858</v>
      </c>
      <c r="E360" s="600"/>
      <c r="F360" s="610"/>
      <c r="G360" s="1629"/>
      <c r="H360" s="603"/>
      <c r="I360" s="600"/>
      <c r="J360" s="600">
        <f>SUM(J358:J359)</f>
        <v>18000</v>
      </c>
      <c r="K360" s="600"/>
      <c r="L360" s="613">
        <f t="shared" si="31"/>
        <v>18000</v>
      </c>
      <c r="M360" s="1630"/>
    </row>
    <row r="361" spans="1:13" ht="22.35" customHeight="1" x14ac:dyDescent="0.3">
      <c r="A361" s="597">
        <v>352</v>
      </c>
      <c r="B361" s="633"/>
      <c r="C361" s="615">
        <v>154</v>
      </c>
      <c r="D361" s="1605" t="s">
        <v>543</v>
      </c>
      <c r="E361" s="609">
        <f>F361+G361+L365+M362</f>
        <v>6731</v>
      </c>
      <c r="F361" s="610"/>
      <c r="G361" s="1629"/>
      <c r="H361" s="603" t="s">
        <v>24</v>
      </c>
      <c r="I361" s="600"/>
      <c r="J361" s="600"/>
      <c r="K361" s="600"/>
      <c r="L361" s="634"/>
      <c r="M361" s="1630"/>
    </row>
    <row r="362" spans="1:13" ht="18" customHeight="1" x14ac:dyDescent="0.3">
      <c r="A362" s="597">
        <v>353</v>
      </c>
      <c r="B362" s="633"/>
      <c r="C362" s="585"/>
      <c r="D362" s="1622" t="s">
        <v>245</v>
      </c>
      <c r="E362" s="600"/>
      <c r="F362" s="610"/>
      <c r="G362" s="1629"/>
      <c r="H362" s="603"/>
      <c r="I362" s="600"/>
      <c r="J362" s="600">
        <v>6731</v>
      </c>
      <c r="K362" s="600"/>
      <c r="L362" s="613">
        <f>SUM(I362:K362)</f>
        <v>6731</v>
      </c>
      <c r="M362" s="1630"/>
    </row>
    <row r="363" spans="1:13" ht="18" customHeight="1" x14ac:dyDescent="0.3">
      <c r="A363" s="597">
        <v>354</v>
      </c>
      <c r="B363" s="633"/>
      <c r="C363" s="585"/>
      <c r="D363" s="1146" t="s">
        <v>810</v>
      </c>
      <c r="E363" s="600"/>
      <c r="F363" s="610"/>
      <c r="G363" s="1629"/>
      <c r="H363" s="603"/>
      <c r="I363" s="600"/>
      <c r="J363" s="600">
        <v>6731</v>
      </c>
      <c r="K363" s="600"/>
      <c r="L363" s="613">
        <f>SUM(I363:K363)</f>
        <v>6731</v>
      </c>
      <c r="M363" s="1630"/>
    </row>
    <row r="364" spans="1:13" ht="18" customHeight="1" x14ac:dyDescent="0.3">
      <c r="A364" s="597">
        <v>355</v>
      </c>
      <c r="B364" s="633"/>
      <c r="C364" s="585"/>
      <c r="D364" s="910" t="s">
        <v>652</v>
      </c>
      <c r="E364" s="600"/>
      <c r="F364" s="610"/>
      <c r="G364" s="1629"/>
      <c r="H364" s="603"/>
      <c r="I364" s="1631"/>
      <c r="J364" s="1631"/>
      <c r="K364" s="1631"/>
      <c r="L364" s="1214">
        <f t="shared" ref="L364:L365" si="32">SUM(I364:K364)</f>
        <v>0</v>
      </c>
      <c r="M364" s="1630"/>
    </row>
    <row r="365" spans="1:13" ht="18" customHeight="1" x14ac:dyDescent="0.3">
      <c r="A365" s="597">
        <v>356</v>
      </c>
      <c r="B365" s="633"/>
      <c r="C365" s="585"/>
      <c r="D365" s="1146" t="s">
        <v>858</v>
      </c>
      <c r="E365" s="600"/>
      <c r="F365" s="610"/>
      <c r="G365" s="1629"/>
      <c r="H365" s="603"/>
      <c r="I365" s="600"/>
      <c r="J365" s="600">
        <f>SUM(J363:J364)</f>
        <v>6731</v>
      </c>
      <c r="K365" s="600"/>
      <c r="L365" s="613">
        <f t="shared" si="32"/>
        <v>6731</v>
      </c>
      <c r="M365" s="1630"/>
    </row>
    <row r="366" spans="1:13" ht="22.35" customHeight="1" x14ac:dyDescent="0.3">
      <c r="A366" s="597">
        <v>357</v>
      </c>
      <c r="B366" s="633"/>
      <c r="C366" s="615">
        <v>155</v>
      </c>
      <c r="D366" s="1605" t="s">
        <v>544</v>
      </c>
      <c r="E366" s="609">
        <f>F366+G366+L370+M367</f>
        <v>5200</v>
      </c>
      <c r="F366" s="610"/>
      <c r="G366" s="1629"/>
      <c r="H366" s="603" t="s">
        <v>24</v>
      </c>
      <c r="I366" s="600"/>
      <c r="J366" s="600"/>
      <c r="K366" s="600"/>
      <c r="L366" s="634"/>
      <c r="M366" s="1630"/>
    </row>
    <row r="367" spans="1:13" ht="18" customHeight="1" x14ac:dyDescent="0.3">
      <c r="A367" s="597">
        <v>358</v>
      </c>
      <c r="B367" s="633"/>
      <c r="C367" s="585"/>
      <c r="D367" s="1622" t="s">
        <v>245</v>
      </c>
      <c r="E367" s="600"/>
      <c r="F367" s="610"/>
      <c r="G367" s="1629"/>
      <c r="H367" s="603"/>
      <c r="I367" s="600"/>
      <c r="J367" s="600">
        <v>5200</v>
      </c>
      <c r="K367" s="600"/>
      <c r="L367" s="613">
        <f>SUM(I367:K367)</f>
        <v>5200</v>
      </c>
      <c r="M367" s="1630"/>
    </row>
    <row r="368" spans="1:13" ht="18" customHeight="1" x14ac:dyDescent="0.3">
      <c r="A368" s="597">
        <v>359</v>
      </c>
      <c r="B368" s="633"/>
      <c r="C368" s="585"/>
      <c r="D368" s="1146" t="s">
        <v>810</v>
      </c>
      <c r="E368" s="600"/>
      <c r="F368" s="610"/>
      <c r="G368" s="1629"/>
      <c r="H368" s="603"/>
      <c r="I368" s="600"/>
      <c r="J368" s="600">
        <v>5200</v>
      </c>
      <c r="K368" s="600"/>
      <c r="L368" s="613">
        <f>SUM(I368:K368)</f>
        <v>5200</v>
      </c>
      <c r="M368" s="1630"/>
    </row>
    <row r="369" spans="1:13" ht="18" customHeight="1" x14ac:dyDescent="0.3">
      <c r="A369" s="597">
        <v>360</v>
      </c>
      <c r="B369" s="633"/>
      <c r="C369" s="585"/>
      <c r="D369" s="910" t="s">
        <v>652</v>
      </c>
      <c r="E369" s="600"/>
      <c r="F369" s="610"/>
      <c r="G369" s="1629"/>
      <c r="H369" s="603"/>
      <c r="I369" s="1631"/>
      <c r="J369" s="1631"/>
      <c r="K369" s="1631"/>
      <c r="L369" s="1214">
        <f t="shared" ref="L369:L370" si="33">SUM(I369:K369)</f>
        <v>0</v>
      </c>
      <c r="M369" s="1630"/>
    </row>
    <row r="370" spans="1:13" ht="18" customHeight="1" x14ac:dyDescent="0.3">
      <c r="A370" s="597">
        <v>361</v>
      </c>
      <c r="B370" s="633"/>
      <c r="C370" s="585"/>
      <c r="D370" s="1146" t="s">
        <v>858</v>
      </c>
      <c r="E370" s="600"/>
      <c r="F370" s="610"/>
      <c r="G370" s="1629"/>
      <c r="H370" s="603"/>
      <c r="I370" s="600"/>
      <c r="J370" s="600">
        <f>SUM(J368:J369)</f>
        <v>5200</v>
      </c>
      <c r="K370" s="600"/>
      <c r="L370" s="613">
        <f t="shared" si="33"/>
        <v>5200</v>
      </c>
      <c r="M370" s="1630"/>
    </row>
    <row r="371" spans="1:13" ht="22.35" customHeight="1" x14ac:dyDescent="0.3">
      <c r="A371" s="597">
        <v>362</v>
      </c>
      <c r="B371" s="633"/>
      <c r="C371" s="615">
        <v>156</v>
      </c>
      <c r="D371" s="1605" t="s">
        <v>545</v>
      </c>
      <c r="E371" s="609">
        <f>F371+G371+L375+M372</f>
        <v>6086</v>
      </c>
      <c r="F371" s="610"/>
      <c r="G371" s="1629"/>
      <c r="H371" s="603" t="s">
        <v>24</v>
      </c>
      <c r="I371" s="600"/>
      <c r="J371" s="600"/>
      <c r="K371" s="600"/>
      <c r="L371" s="634"/>
      <c r="M371" s="1630"/>
    </row>
    <row r="372" spans="1:13" ht="18" customHeight="1" x14ac:dyDescent="0.3">
      <c r="A372" s="597">
        <v>363</v>
      </c>
      <c r="B372" s="633"/>
      <c r="C372" s="585"/>
      <c r="D372" s="1622" t="s">
        <v>245</v>
      </c>
      <c r="E372" s="600"/>
      <c r="F372" s="610"/>
      <c r="G372" s="1629"/>
      <c r="H372" s="603"/>
      <c r="I372" s="600"/>
      <c r="J372" s="600">
        <v>6086</v>
      </c>
      <c r="K372" s="600"/>
      <c r="L372" s="613">
        <f>SUM(I372:K372)</f>
        <v>6086</v>
      </c>
      <c r="M372" s="1630"/>
    </row>
    <row r="373" spans="1:13" ht="18" customHeight="1" x14ac:dyDescent="0.3">
      <c r="A373" s="597">
        <v>364</v>
      </c>
      <c r="B373" s="633"/>
      <c r="C373" s="585"/>
      <c r="D373" s="1146" t="s">
        <v>810</v>
      </c>
      <c r="E373" s="600"/>
      <c r="F373" s="610"/>
      <c r="G373" s="1629"/>
      <c r="H373" s="603"/>
      <c r="I373" s="600"/>
      <c r="J373" s="600">
        <v>6086</v>
      </c>
      <c r="K373" s="600"/>
      <c r="L373" s="613">
        <f>SUM(I373:K373)</f>
        <v>6086</v>
      </c>
      <c r="M373" s="1630"/>
    </row>
    <row r="374" spans="1:13" ht="18" customHeight="1" x14ac:dyDescent="0.3">
      <c r="A374" s="597">
        <v>365</v>
      </c>
      <c r="B374" s="633"/>
      <c r="C374" s="585"/>
      <c r="D374" s="910" t="s">
        <v>652</v>
      </c>
      <c r="E374" s="600"/>
      <c r="F374" s="610"/>
      <c r="G374" s="1629"/>
      <c r="H374" s="603"/>
      <c r="I374" s="1631"/>
      <c r="J374" s="1631"/>
      <c r="K374" s="1631"/>
      <c r="L374" s="1214">
        <f t="shared" ref="L374:L375" si="34">SUM(I374:K374)</f>
        <v>0</v>
      </c>
      <c r="M374" s="1630"/>
    </row>
    <row r="375" spans="1:13" ht="18" customHeight="1" x14ac:dyDescent="0.3">
      <c r="A375" s="597">
        <v>366</v>
      </c>
      <c r="B375" s="633"/>
      <c r="C375" s="585"/>
      <c r="D375" s="1146" t="s">
        <v>858</v>
      </c>
      <c r="E375" s="600"/>
      <c r="F375" s="610"/>
      <c r="G375" s="1629"/>
      <c r="H375" s="603"/>
      <c r="I375" s="600"/>
      <c r="J375" s="600">
        <f>SUM(J373:J374)</f>
        <v>6086</v>
      </c>
      <c r="K375" s="600"/>
      <c r="L375" s="613">
        <f t="shared" si="34"/>
        <v>6086</v>
      </c>
      <c r="M375" s="1630"/>
    </row>
    <row r="376" spans="1:13" ht="22.35" customHeight="1" x14ac:dyDescent="0.3">
      <c r="A376" s="597">
        <v>367</v>
      </c>
      <c r="B376" s="633"/>
      <c r="C376" s="615">
        <v>158</v>
      </c>
      <c r="D376" s="1605" t="s">
        <v>546</v>
      </c>
      <c r="E376" s="609">
        <f>F376+G376+L380+M377</f>
        <v>23775</v>
      </c>
      <c r="F376" s="610"/>
      <c r="G376" s="1629"/>
      <c r="H376" s="603" t="s">
        <v>24</v>
      </c>
      <c r="I376" s="600"/>
      <c r="J376" s="600"/>
      <c r="K376" s="600"/>
      <c r="L376" s="634"/>
      <c r="M376" s="1630"/>
    </row>
    <row r="377" spans="1:13" ht="18" customHeight="1" x14ac:dyDescent="0.3">
      <c r="A377" s="597">
        <v>368</v>
      </c>
      <c r="B377" s="633"/>
      <c r="C377" s="585"/>
      <c r="D377" s="1622" t="s">
        <v>245</v>
      </c>
      <c r="E377" s="600"/>
      <c r="F377" s="610"/>
      <c r="G377" s="1629"/>
      <c r="H377" s="603"/>
      <c r="I377" s="600"/>
      <c r="J377" s="600">
        <v>23775</v>
      </c>
      <c r="K377" s="600"/>
      <c r="L377" s="613">
        <f>SUM(I377:K377)</f>
        <v>23775</v>
      </c>
      <c r="M377" s="1630"/>
    </row>
    <row r="378" spans="1:13" ht="18" customHeight="1" x14ac:dyDescent="0.3">
      <c r="A378" s="597">
        <v>369</v>
      </c>
      <c r="B378" s="633"/>
      <c r="C378" s="585"/>
      <c r="D378" s="1146" t="s">
        <v>810</v>
      </c>
      <c r="E378" s="600"/>
      <c r="F378" s="610"/>
      <c r="G378" s="1629"/>
      <c r="H378" s="603"/>
      <c r="I378" s="600"/>
      <c r="J378" s="600">
        <v>23775</v>
      </c>
      <c r="K378" s="600"/>
      <c r="L378" s="613">
        <f>SUM(I378:K378)</f>
        <v>23775</v>
      </c>
      <c r="M378" s="1630"/>
    </row>
    <row r="379" spans="1:13" ht="18" customHeight="1" x14ac:dyDescent="0.3">
      <c r="A379" s="597">
        <v>370</v>
      </c>
      <c r="B379" s="633"/>
      <c r="C379" s="585"/>
      <c r="D379" s="910" t="s">
        <v>652</v>
      </c>
      <c r="E379" s="600"/>
      <c r="F379" s="610"/>
      <c r="G379" s="1629"/>
      <c r="H379" s="603"/>
      <c r="I379" s="1631"/>
      <c r="J379" s="1631"/>
      <c r="K379" s="1631"/>
      <c r="L379" s="1214">
        <f t="shared" ref="L379:L380" si="35">SUM(I379:K379)</f>
        <v>0</v>
      </c>
      <c r="M379" s="1630"/>
    </row>
    <row r="380" spans="1:13" ht="18" customHeight="1" x14ac:dyDescent="0.3">
      <c r="A380" s="597">
        <v>371</v>
      </c>
      <c r="B380" s="633"/>
      <c r="C380" s="585"/>
      <c r="D380" s="1146" t="s">
        <v>858</v>
      </c>
      <c r="E380" s="600"/>
      <c r="F380" s="610"/>
      <c r="G380" s="1629"/>
      <c r="H380" s="603"/>
      <c r="I380" s="600"/>
      <c r="J380" s="600">
        <f>SUM(J378:J379)</f>
        <v>23775</v>
      </c>
      <c r="K380" s="600"/>
      <c r="L380" s="613">
        <f t="shared" si="35"/>
        <v>23775</v>
      </c>
      <c r="M380" s="1630"/>
    </row>
    <row r="381" spans="1:13" ht="22.35" customHeight="1" x14ac:dyDescent="0.3">
      <c r="A381" s="597">
        <v>372</v>
      </c>
      <c r="B381" s="633"/>
      <c r="C381" s="615">
        <v>159</v>
      </c>
      <c r="D381" s="1605" t="s">
        <v>547</v>
      </c>
      <c r="E381" s="609">
        <f>F381+G381+L385+M382</f>
        <v>22225</v>
      </c>
      <c r="F381" s="610"/>
      <c r="G381" s="1629"/>
      <c r="H381" s="603" t="s">
        <v>24</v>
      </c>
      <c r="I381" s="600"/>
      <c r="J381" s="600"/>
      <c r="K381" s="600"/>
      <c r="L381" s="634"/>
      <c r="M381" s="1630"/>
    </row>
    <row r="382" spans="1:13" ht="18" customHeight="1" x14ac:dyDescent="0.3">
      <c r="A382" s="597">
        <v>373</v>
      </c>
      <c r="B382" s="633"/>
      <c r="C382" s="585"/>
      <c r="D382" s="1622" t="s">
        <v>245</v>
      </c>
      <c r="E382" s="600"/>
      <c r="F382" s="610"/>
      <c r="G382" s="1629"/>
      <c r="H382" s="603"/>
      <c r="I382" s="600">
        <v>22225</v>
      </c>
      <c r="J382" s="600"/>
      <c r="K382" s="600"/>
      <c r="L382" s="613">
        <f>SUM(I382:K382)</f>
        <v>22225</v>
      </c>
      <c r="M382" s="1630"/>
    </row>
    <row r="383" spans="1:13" ht="18" customHeight="1" x14ac:dyDescent="0.3">
      <c r="A383" s="597">
        <v>374</v>
      </c>
      <c r="B383" s="633"/>
      <c r="C383" s="585"/>
      <c r="D383" s="1146" t="s">
        <v>810</v>
      </c>
      <c r="E383" s="600"/>
      <c r="F383" s="610"/>
      <c r="G383" s="1629"/>
      <c r="H383" s="603"/>
      <c r="I383" s="600">
        <v>22225</v>
      </c>
      <c r="J383" s="600"/>
      <c r="K383" s="600"/>
      <c r="L383" s="613">
        <f>SUM(I383:K383)</f>
        <v>22225</v>
      </c>
      <c r="M383" s="1630"/>
    </row>
    <row r="384" spans="1:13" ht="18" customHeight="1" x14ac:dyDescent="0.3">
      <c r="A384" s="597">
        <v>375</v>
      </c>
      <c r="B384" s="633"/>
      <c r="C384" s="585"/>
      <c r="D384" s="910" t="s">
        <v>652</v>
      </c>
      <c r="E384" s="600"/>
      <c r="F384" s="610"/>
      <c r="G384" s="1629"/>
      <c r="H384" s="603"/>
      <c r="I384" s="1631"/>
      <c r="J384" s="1631"/>
      <c r="K384" s="1631"/>
      <c r="L384" s="1214">
        <f t="shared" ref="L384:L385" si="36">SUM(I384:K384)</f>
        <v>0</v>
      </c>
      <c r="M384" s="1630"/>
    </row>
    <row r="385" spans="1:13" ht="18" customHeight="1" x14ac:dyDescent="0.3">
      <c r="A385" s="597">
        <v>376</v>
      </c>
      <c r="B385" s="633"/>
      <c r="C385" s="585"/>
      <c r="D385" s="1146" t="s">
        <v>858</v>
      </c>
      <c r="E385" s="600"/>
      <c r="F385" s="610"/>
      <c r="G385" s="1629"/>
      <c r="H385" s="603"/>
      <c r="I385" s="600">
        <f>SUM(I383:I384)</f>
        <v>22225</v>
      </c>
      <c r="J385" s="600"/>
      <c r="K385" s="600"/>
      <c r="L385" s="613">
        <f t="shared" si="36"/>
        <v>22225</v>
      </c>
      <c r="M385" s="1630"/>
    </row>
    <row r="386" spans="1:13" ht="22.35" customHeight="1" x14ac:dyDescent="0.3">
      <c r="A386" s="597">
        <v>377</v>
      </c>
      <c r="B386" s="633"/>
      <c r="C386" s="615">
        <v>160</v>
      </c>
      <c r="D386" s="1605" t="s">
        <v>548</v>
      </c>
      <c r="E386" s="609">
        <f>F386+G386+L390+M387</f>
        <v>8446</v>
      </c>
      <c r="F386" s="610"/>
      <c r="G386" s="1629"/>
      <c r="H386" s="603" t="s">
        <v>24</v>
      </c>
      <c r="I386" s="600"/>
      <c r="J386" s="600"/>
      <c r="K386" s="600"/>
      <c r="L386" s="634"/>
      <c r="M386" s="1630"/>
    </row>
    <row r="387" spans="1:13" ht="18" customHeight="1" x14ac:dyDescent="0.3">
      <c r="A387" s="597">
        <v>378</v>
      </c>
      <c r="B387" s="633"/>
      <c r="C387" s="585"/>
      <c r="D387" s="1622" t="s">
        <v>245</v>
      </c>
      <c r="E387" s="600"/>
      <c r="F387" s="610"/>
      <c r="G387" s="1629"/>
      <c r="H387" s="603"/>
      <c r="I387" s="600"/>
      <c r="J387" s="600">
        <v>8446</v>
      </c>
      <c r="K387" s="600"/>
      <c r="L387" s="613">
        <f>SUM(I387:K387)</f>
        <v>8446</v>
      </c>
      <c r="M387" s="1630"/>
    </row>
    <row r="388" spans="1:13" ht="18" customHeight="1" x14ac:dyDescent="0.3">
      <c r="A388" s="597">
        <v>379</v>
      </c>
      <c r="B388" s="633"/>
      <c r="C388" s="585"/>
      <c r="D388" s="1146" t="s">
        <v>810</v>
      </c>
      <c r="E388" s="600"/>
      <c r="F388" s="610"/>
      <c r="G388" s="1629"/>
      <c r="H388" s="603"/>
      <c r="I388" s="600"/>
      <c r="J388" s="600">
        <v>8446</v>
      </c>
      <c r="K388" s="600"/>
      <c r="L388" s="613">
        <f>SUM(I388:K388)</f>
        <v>8446</v>
      </c>
      <c r="M388" s="1630"/>
    </row>
    <row r="389" spans="1:13" ht="18" customHeight="1" x14ac:dyDescent="0.3">
      <c r="A389" s="597">
        <v>380</v>
      </c>
      <c r="B389" s="633"/>
      <c r="C389" s="585"/>
      <c r="D389" s="910" t="s">
        <v>652</v>
      </c>
      <c r="E389" s="600"/>
      <c r="F389" s="610"/>
      <c r="G389" s="1629"/>
      <c r="H389" s="603"/>
      <c r="I389" s="1631"/>
      <c r="J389" s="1631"/>
      <c r="K389" s="1631"/>
      <c r="L389" s="1214">
        <f t="shared" ref="L389:L390" si="37">SUM(I389:K389)</f>
        <v>0</v>
      </c>
      <c r="M389" s="1630"/>
    </row>
    <row r="390" spans="1:13" ht="18" customHeight="1" x14ac:dyDescent="0.3">
      <c r="A390" s="597">
        <v>381</v>
      </c>
      <c r="B390" s="633"/>
      <c r="C390" s="585"/>
      <c r="D390" s="1146" t="s">
        <v>858</v>
      </c>
      <c r="E390" s="600"/>
      <c r="F390" s="610"/>
      <c r="G390" s="1629"/>
      <c r="H390" s="603"/>
      <c r="I390" s="600"/>
      <c r="J390" s="600">
        <f>SUM(J388:J389)</f>
        <v>8446</v>
      </c>
      <c r="K390" s="600"/>
      <c r="L390" s="613">
        <f t="shared" si="37"/>
        <v>8446</v>
      </c>
      <c r="M390" s="1630"/>
    </row>
    <row r="391" spans="1:13" ht="22.35" customHeight="1" x14ac:dyDescent="0.3">
      <c r="A391" s="597">
        <v>382</v>
      </c>
      <c r="B391" s="633"/>
      <c r="C391" s="615">
        <v>161</v>
      </c>
      <c r="D391" s="1605" t="s">
        <v>549</v>
      </c>
      <c r="E391" s="609">
        <f>F391+G391+L395+M392</f>
        <v>51443</v>
      </c>
      <c r="F391" s="610"/>
      <c r="G391" s="1629"/>
      <c r="H391" s="603" t="s">
        <v>24</v>
      </c>
      <c r="I391" s="600"/>
      <c r="J391" s="600"/>
      <c r="K391" s="600"/>
      <c r="L391" s="634"/>
      <c r="M391" s="1630"/>
    </row>
    <row r="392" spans="1:13" ht="18" customHeight="1" x14ac:dyDescent="0.3">
      <c r="A392" s="597">
        <v>383</v>
      </c>
      <c r="B392" s="633"/>
      <c r="C392" s="585"/>
      <c r="D392" s="1622" t="s">
        <v>245</v>
      </c>
      <c r="E392" s="600"/>
      <c r="F392" s="610"/>
      <c r="G392" s="1629"/>
      <c r="H392" s="603"/>
      <c r="I392" s="600"/>
      <c r="J392" s="600">
        <v>51443</v>
      </c>
      <c r="K392" s="600"/>
      <c r="L392" s="613">
        <f>SUM(I392:K392)</f>
        <v>51443</v>
      </c>
      <c r="M392" s="1630"/>
    </row>
    <row r="393" spans="1:13" ht="18" customHeight="1" x14ac:dyDescent="0.3">
      <c r="A393" s="597">
        <v>384</v>
      </c>
      <c r="B393" s="633"/>
      <c r="C393" s="585"/>
      <c r="D393" s="1146" t="s">
        <v>810</v>
      </c>
      <c r="E393" s="600"/>
      <c r="F393" s="610"/>
      <c r="G393" s="1629"/>
      <c r="H393" s="603"/>
      <c r="I393" s="600"/>
      <c r="J393" s="600">
        <v>51443</v>
      </c>
      <c r="K393" s="600"/>
      <c r="L393" s="613">
        <f>SUM(I393:K393)</f>
        <v>51443</v>
      </c>
      <c r="M393" s="1630"/>
    </row>
    <row r="394" spans="1:13" ht="18" customHeight="1" x14ac:dyDescent="0.3">
      <c r="A394" s="597">
        <v>385</v>
      </c>
      <c r="B394" s="633"/>
      <c r="C394" s="585"/>
      <c r="D394" s="910" t="s">
        <v>652</v>
      </c>
      <c r="E394" s="600"/>
      <c r="F394" s="610"/>
      <c r="G394" s="1629"/>
      <c r="H394" s="603"/>
      <c r="I394" s="1631"/>
      <c r="J394" s="1631"/>
      <c r="K394" s="1631"/>
      <c r="L394" s="1214">
        <f t="shared" ref="L394:L395" si="38">SUM(I394:K394)</f>
        <v>0</v>
      </c>
      <c r="M394" s="1630"/>
    </row>
    <row r="395" spans="1:13" ht="18" customHeight="1" x14ac:dyDescent="0.3">
      <c r="A395" s="597">
        <v>386</v>
      </c>
      <c r="B395" s="633"/>
      <c r="C395" s="585"/>
      <c r="D395" s="1146" t="s">
        <v>858</v>
      </c>
      <c r="E395" s="600"/>
      <c r="F395" s="610"/>
      <c r="G395" s="1629"/>
      <c r="H395" s="603"/>
      <c r="I395" s="600"/>
      <c r="J395" s="600">
        <f>SUM(J393:J394)</f>
        <v>51443</v>
      </c>
      <c r="K395" s="600"/>
      <c r="L395" s="613">
        <f t="shared" si="38"/>
        <v>51443</v>
      </c>
      <c r="M395" s="1630"/>
    </row>
    <row r="396" spans="1:13" ht="22.35" customHeight="1" x14ac:dyDescent="0.3">
      <c r="A396" s="597">
        <v>387</v>
      </c>
      <c r="B396" s="633"/>
      <c r="C396" s="615">
        <v>162</v>
      </c>
      <c r="D396" s="1605" t="s">
        <v>550</v>
      </c>
      <c r="E396" s="609">
        <f>F396+G396+L400+M397</f>
        <v>47838</v>
      </c>
      <c r="F396" s="610"/>
      <c r="G396" s="1629"/>
      <c r="H396" s="603" t="s">
        <v>24</v>
      </c>
      <c r="I396" s="600"/>
      <c r="J396" s="600"/>
      <c r="K396" s="600"/>
      <c r="L396" s="634"/>
      <c r="M396" s="1630"/>
    </row>
    <row r="397" spans="1:13" ht="18" customHeight="1" x14ac:dyDescent="0.3">
      <c r="A397" s="597">
        <v>388</v>
      </c>
      <c r="B397" s="633"/>
      <c r="C397" s="585"/>
      <c r="D397" s="1622" t="s">
        <v>245</v>
      </c>
      <c r="E397" s="600"/>
      <c r="F397" s="610"/>
      <c r="G397" s="1629"/>
      <c r="H397" s="603"/>
      <c r="I397" s="600"/>
      <c r="J397" s="600">
        <v>47838</v>
      </c>
      <c r="K397" s="600"/>
      <c r="L397" s="613">
        <f>SUM(I397:K397)</f>
        <v>47838</v>
      </c>
      <c r="M397" s="1630"/>
    </row>
    <row r="398" spans="1:13" ht="18" customHeight="1" x14ac:dyDescent="0.3">
      <c r="A398" s="597">
        <v>389</v>
      </c>
      <c r="B398" s="633"/>
      <c r="C398" s="585"/>
      <c r="D398" s="1146" t="s">
        <v>810</v>
      </c>
      <c r="E398" s="600"/>
      <c r="F398" s="610"/>
      <c r="G398" s="1629"/>
      <c r="H398" s="603"/>
      <c r="I398" s="600"/>
      <c r="J398" s="600">
        <v>47838</v>
      </c>
      <c r="K398" s="600"/>
      <c r="L398" s="613">
        <f>SUM(I398:K398)</f>
        <v>47838</v>
      </c>
      <c r="M398" s="1630"/>
    </row>
    <row r="399" spans="1:13" ht="18" customHeight="1" x14ac:dyDescent="0.3">
      <c r="A399" s="597">
        <v>390</v>
      </c>
      <c r="B399" s="633"/>
      <c r="C399" s="585"/>
      <c r="D399" s="910" t="s">
        <v>652</v>
      </c>
      <c r="E399" s="600"/>
      <c r="F399" s="610"/>
      <c r="G399" s="1629"/>
      <c r="H399" s="603"/>
      <c r="I399" s="1631"/>
      <c r="J399" s="1631"/>
      <c r="K399" s="1631"/>
      <c r="L399" s="1214">
        <f t="shared" ref="L399:L400" si="39">SUM(I399:K399)</f>
        <v>0</v>
      </c>
      <c r="M399" s="1630"/>
    </row>
    <row r="400" spans="1:13" ht="18" customHeight="1" x14ac:dyDescent="0.3">
      <c r="A400" s="597">
        <v>391</v>
      </c>
      <c r="B400" s="633"/>
      <c r="C400" s="585"/>
      <c r="D400" s="1146" t="s">
        <v>858</v>
      </c>
      <c r="E400" s="600"/>
      <c r="F400" s="610"/>
      <c r="G400" s="1629"/>
      <c r="H400" s="603"/>
      <c r="I400" s="600"/>
      <c r="J400" s="600">
        <f>SUM(J398:J399)</f>
        <v>47838</v>
      </c>
      <c r="K400" s="600"/>
      <c r="L400" s="613">
        <f t="shared" si="39"/>
        <v>47838</v>
      </c>
      <c r="M400" s="1630"/>
    </row>
    <row r="401" spans="1:13" ht="22.35" customHeight="1" x14ac:dyDescent="0.3">
      <c r="A401" s="597">
        <v>392</v>
      </c>
      <c r="B401" s="633"/>
      <c r="C401" s="615">
        <v>163</v>
      </c>
      <c r="D401" s="1605" t="s">
        <v>551</v>
      </c>
      <c r="E401" s="609">
        <f>F401+G401+L405+M402</f>
        <v>1207</v>
      </c>
      <c r="F401" s="610"/>
      <c r="G401" s="1629"/>
      <c r="H401" s="603" t="s">
        <v>24</v>
      </c>
      <c r="I401" s="600"/>
      <c r="J401" s="600"/>
      <c r="K401" s="600"/>
      <c r="L401" s="634"/>
      <c r="M401" s="1630"/>
    </row>
    <row r="402" spans="1:13" ht="18" customHeight="1" x14ac:dyDescent="0.3">
      <c r="A402" s="597">
        <v>393</v>
      </c>
      <c r="B402" s="633"/>
      <c r="C402" s="585"/>
      <c r="D402" s="1622" t="s">
        <v>245</v>
      </c>
      <c r="E402" s="600"/>
      <c r="F402" s="610"/>
      <c r="G402" s="1629"/>
      <c r="H402" s="603"/>
      <c r="I402" s="600"/>
      <c r="J402" s="600">
        <v>1207</v>
      </c>
      <c r="K402" s="600"/>
      <c r="L402" s="613">
        <f>SUM(I402:K402)</f>
        <v>1207</v>
      </c>
      <c r="M402" s="1630"/>
    </row>
    <row r="403" spans="1:13" ht="18" customHeight="1" x14ac:dyDescent="0.3">
      <c r="A403" s="597">
        <v>394</v>
      </c>
      <c r="B403" s="633"/>
      <c r="C403" s="585"/>
      <c r="D403" s="1146" t="s">
        <v>810</v>
      </c>
      <c r="E403" s="600"/>
      <c r="F403" s="610"/>
      <c r="G403" s="1629"/>
      <c r="H403" s="603"/>
      <c r="I403" s="600"/>
      <c r="J403" s="600">
        <v>1207</v>
      </c>
      <c r="K403" s="600"/>
      <c r="L403" s="613">
        <f>SUM(I403:K403)</f>
        <v>1207</v>
      </c>
      <c r="M403" s="1630"/>
    </row>
    <row r="404" spans="1:13" ht="18" customHeight="1" x14ac:dyDescent="0.3">
      <c r="A404" s="597">
        <v>395</v>
      </c>
      <c r="B404" s="633"/>
      <c r="C404" s="585"/>
      <c r="D404" s="910" t="s">
        <v>652</v>
      </c>
      <c r="E404" s="600"/>
      <c r="F404" s="610"/>
      <c r="G404" s="1629"/>
      <c r="H404" s="603"/>
      <c r="I404" s="1631"/>
      <c r="J404" s="1631"/>
      <c r="K404" s="1631"/>
      <c r="L404" s="1214">
        <f t="shared" ref="L404:L405" si="40">SUM(I404:K404)</f>
        <v>0</v>
      </c>
      <c r="M404" s="1630"/>
    </row>
    <row r="405" spans="1:13" ht="18" customHeight="1" x14ac:dyDescent="0.3">
      <c r="A405" s="597">
        <v>396</v>
      </c>
      <c r="B405" s="633"/>
      <c r="C405" s="585"/>
      <c r="D405" s="1146" t="s">
        <v>858</v>
      </c>
      <c r="E405" s="600"/>
      <c r="F405" s="610"/>
      <c r="G405" s="1629"/>
      <c r="H405" s="603"/>
      <c r="I405" s="600"/>
      <c r="J405" s="600">
        <f>SUM(J403:J404)</f>
        <v>1207</v>
      </c>
      <c r="K405" s="600"/>
      <c r="L405" s="613">
        <f t="shared" si="40"/>
        <v>1207</v>
      </c>
      <c r="M405" s="1630"/>
    </row>
    <row r="406" spans="1:13" ht="33" x14ac:dyDescent="0.3">
      <c r="A406" s="597">
        <v>397</v>
      </c>
      <c r="B406" s="633"/>
      <c r="C406" s="585">
        <v>164</v>
      </c>
      <c r="D406" s="1634" t="s">
        <v>552</v>
      </c>
      <c r="E406" s="609">
        <f>F406+G406+L410+M407</f>
        <v>6108</v>
      </c>
      <c r="F406" s="610"/>
      <c r="G406" s="1629"/>
      <c r="H406" s="603" t="s">
        <v>23</v>
      </c>
      <c r="I406" s="600"/>
      <c r="J406" s="600"/>
      <c r="K406" s="600"/>
      <c r="L406" s="634"/>
      <c r="M406" s="1630"/>
    </row>
    <row r="407" spans="1:13" ht="18" customHeight="1" x14ac:dyDescent="0.3">
      <c r="A407" s="597">
        <v>398</v>
      </c>
      <c r="B407" s="633"/>
      <c r="C407" s="585"/>
      <c r="D407" s="1622" t="s">
        <v>245</v>
      </c>
      <c r="E407" s="600"/>
      <c r="F407" s="610"/>
      <c r="G407" s="1629"/>
      <c r="H407" s="603"/>
      <c r="I407" s="600"/>
      <c r="J407" s="600">
        <v>6108</v>
      </c>
      <c r="K407" s="600"/>
      <c r="L407" s="613">
        <f>SUM(I407:K407)</f>
        <v>6108</v>
      </c>
      <c r="M407" s="1630"/>
    </row>
    <row r="408" spans="1:13" ht="18" customHeight="1" x14ac:dyDescent="0.3">
      <c r="A408" s="597">
        <v>399</v>
      </c>
      <c r="B408" s="633"/>
      <c r="C408" s="585"/>
      <c r="D408" s="1146" t="s">
        <v>810</v>
      </c>
      <c r="E408" s="600"/>
      <c r="F408" s="610"/>
      <c r="G408" s="1629"/>
      <c r="H408" s="603"/>
      <c r="I408" s="600"/>
      <c r="J408" s="600">
        <v>6108</v>
      </c>
      <c r="K408" s="600"/>
      <c r="L408" s="613">
        <f>SUM(I408:K408)</f>
        <v>6108</v>
      </c>
      <c r="M408" s="1630"/>
    </row>
    <row r="409" spans="1:13" ht="18" customHeight="1" x14ac:dyDescent="0.3">
      <c r="A409" s="597">
        <v>400</v>
      </c>
      <c r="B409" s="633"/>
      <c r="C409" s="585"/>
      <c r="D409" s="910" t="s">
        <v>652</v>
      </c>
      <c r="E409" s="600"/>
      <c r="F409" s="610"/>
      <c r="G409" s="1629"/>
      <c r="H409" s="603"/>
      <c r="I409" s="1631"/>
      <c r="J409" s="1631"/>
      <c r="K409" s="1631"/>
      <c r="L409" s="1214">
        <f t="shared" ref="L409:L410" si="41">SUM(I409:K409)</f>
        <v>0</v>
      </c>
      <c r="M409" s="1630"/>
    </row>
    <row r="410" spans="1:13" ht="18" customHeight="1" x14ac:dyDescent="0.3">
      <c r="A410" s="597">
        <v>401</v>
      </c>
      <c r="B410" s="633"/>
      <c r="C410" s="585"/>
      <c r="D410" s="1146" t="s">
        <v>858</v>
      </c>
      <c r="E410" s="600"/>
      <c r="F410" s="610"/>
      <c r="G410" s="1629"/>
      <c r="H410" s="603"/>
      <c r="I410" s="600"/>
      <c r="J410" s="600">
        <f>SUM(J408:J409)</f>
        <v>6108</v>
      </c>
      <c r="K410" s="600"/>
      <c r="L410" s="613">
        <f t="shared" si="41"/>
        <v>6108</v>
      </c>
      <c r="M410" s="1630"/>
    </row>
    <row r="411" spans="1:13" ht="22.35" customHeight="1" x14ac:dyDescent="0.3">
      <c r="A411" s="597">
        <v>402</v>
      </c>
      <c r="B411" s="633"/>
      <c r="C411" s="615">
        <v>166</v>
      </c>
      <c r="D411" s="1634" t="s">
        <v>553</v>
      </c>
      <c r="E411" s="609">
        <f>F411+G411+L415+M412</f>
        <v>3500</v>
      </c>
      <c r="F411" s="610"/>
      <c r="G411" s="1629"/>
      <c r="H411" s="603" t="s">
        <v>24</v>
      </c>
      <c r="I411" s="600"/>
      <c r="J411" s="600"/>
      <c r="K411" s="600"/>
      <c r="L411" s="634"/>
      <c r="M411" s="1630"/>
    </row>
    <row r="412" spans="1:13" ht="18" customHeight="1" x14ac:dyDescent="0.3">
      <c r="A412" s="597">
        <v>403</v>
      </c>
      <c r="B412" s="633"/>
      <c r="C412" s="585"/>
      <c r="D412" s="1622" t="s">
        <v>245</v>
      </c>
      <c r="E412" s="600"/>
      <c r="F412" s="610"/>
      <c r="G412" s="1629"/>
      <c r="H412" s="603"/>
      <c r="I412" s="600"/>
      <c r="J412" s="600">
        <v>3500</v>
      </c>
      <c r="K412" s="600"/>
      <c r="L412" s="613">
        <f>SUM(I412:K412)</f>
        <v>3500</v>
      </c>
      <c r="M412" s="1630"/>
    </row>
    <row r="413" spans="1:13" ht="18" customHeight="1" x14ac:dyDescent="0.3">
      <c r="A413" s="597">
        <v>404</v>
      </c>
      <c r="B413" s="633"/>
      <c r="C413" s="585"/>
      <c r="D413" s="1146" t="s">
        <v>810</v>
      </c>
      <c r="E413" s="600"/>
      <c r="F413" s="610"/>
      <c r="G413" s="1629"/>
      <c r="H413" s="603"/>
      <c r="I413" s="600"/>
      <c r="J413" s="600">
        <v>3500</v>
      </c>
      <c r="K413" s="600"/>
      <c r="L413" s="613">
        <f>SUM(I413:K413)</f>
        <v>3500</v>
      </c>
      <c r="M413" s="1630"/>
    </row>
    <row r="414" spans="1:13" ht="18" customHeight="1" x14ac:dyDescent="0.3">
      <c r="A414" s="597">
        <v>405</v>
      </c>
      <c r="B414" s="633"/>
      <c r="C414" s="585"/>
      <c r="D414" s="910" t="s">
        <v>652</v>
      </c>
      <c r="E414" s="600"/>
      <c r="F414" s="610"/>
      <c r="G414" s="1629"/>
      <c r="H414" s="603"/>
      <c r="I414" s="1631"/>
      <c r="J414" s="1631"/>
      <c r="K414" s="1631"/>
      <c r="L414" s="1214">
        <f t="shared" ref="L414:L415" si="42">SUM(I414:K414)</f>
        <v>0</v>
      </c>
      <c r="M414" s="1630"/>
    </row>
    <row r="415" spans="1:13" ht="18" customHeight="1" x14ac:dyDescent="0.3">
      <c r="A415" s="597">
        <v>406</v>
      </c>
      <c r="B415" s="633"/>
      <c r="C415" s="585"/>
      <c r="D415" s="1146" t="s">
        <v>858</v>
      </c>
      <c r="E415" s="600"/>
      <c r="F415" s="610"/>
      <c r="G415" s="1629"/>
      <c r="H415" s="603"/>
      <c r="I415" s="600"/>
      <c r="J415" s="600">
        <f>SUM(J413:J414)</f>
        <v>3500</v>
      </c>
      <c r="K415" s="600"/>
      <c r="L415" s="613">
        <f t="shared" si="42"/>
        <v>3500</v>
      </c>
      <c r="M415" s="1630"/>
    </row>
    <row r="416" spans="1:13" ht="22.35" customHeight="1" x14ac:dyDescent="0.3">
      <c r="A416" s="597">
        <v>407</v>
      </c>
      <c r="B416" s="633"/>
      <c r="C416" s="615">
        <v>167</v>
      </c>
      <c r="D416" s="1634" t="s">
        <v>554</v>
      </c>
      <c r="E416" s="609">
        <f>F416+G416+L420+M417</f>
        <v>5200</v>
      </c>
      <c r="F416" s="610"/>
      <c r="G416" s="1629"/>
      <c r="H416" s="603" t="s">
        <v>23</v>
      </c>
      <c r="I416" s="600"/>
      <c r="J416" s="600"/>
      <c r="K416" s="600"/>
      <c r="L416" s="634"/>
      <c r="M416" s="1630"/>
    </row>
    <row r="417" spans="1:13" ht="18" customHeight="1" x14ac:dyDescent="0.3">
      <c r="A417" s="597">
        <v>408</v>
      </c>
      <c r="B417" s="633"/>
      <c r="C417" s="585"/>
      <c r="D417" s="1622" t="s">
        <v>245</v>
      </c>
      <c r="E417" s="600"/>
      <c r="F417" s="610"/>
      <c r="G417" s="1629"/>
      <c r="H417" s="603"/>
      <c r="I417" s="600"/>
      <c r="J417" s="600">
        <v>5200</v>
      </c>
      <c r="K417" s="600"/>
      <c r="L417" s="613">
        <f>SUM(I417:K417)</f>
        <v>5200</v>
      </c>
      <c r="M417" s="1630"/>
    </row>
    <row r="418" spans="1:13" ht="18" customHeight="1" x14ac:dyDescent="0.3">
      <c r="A418" s="597">
        <v>409</v>
      </c>
      <c r="B418" s="633"/>
      <c r="C418" s="585"/>
      <c r="D418" s="1146" t="s">
        <v>810</v>
      </c>
      <c r="E418" s="600"/>
      <c r="F418" s="610"/>
      <c r="G418" s="1629"/>
      <c r="H418" s="603"/>
      <c r="I418" s="600"/>
      <c r="J418" s="600">
        <v>5200</v>
      </c>
      <c r="K418" s="600"/>
      <c r="L418" s="613">
        <f>SUM(I418:K418)</f>
        <v>5200</v>
      </c>
      <c r="M418" s="1630"/>
    </row>
    <row r="419" spans="1:13" ht="18" customHeight="1" x14ac:dyDescent="0.3">
      <c r="A419" s="597">
        <v>410</v>
      </c>
      <c r="B419" s="633"/>
      <c r="C419" s="585"/>
      <c r="D419" s="910" t="s">
        <v>652</v>
      </c>
      <c r="E419" s="600"/>
      <c r="F419" s="610"/>
      <c r="G419" s="1629"/>
      <c r="H419" s="603"/>
      <c r="I419" s="1631"/>
      <c r="J419" s="1631"/>
      <c r="K419" s="1631"/>
      <c r="L419" s="1214">
        <f t="shared" ref="L419:L420" si="43">SUM(I419:K419)</f>
        <v>0</v>
      </c>
      <c r="M419" s="1630"/>
    </row>
    <row r="420" spans="1:13" ht="18" customHeight="1" x14ac:dyDescent="0.3">
      <c r="A420" s="597">
        <v>411</v>
      </c>
      <c r="B420" s="633"/>
      <c r="C420" s="585"/>
      <c r="D420" s="1146" t="s">
        <v>858</v>
      </c>
      <c r="E420" s="600"/>
      <c r="F420" s="610"/>
      <c r="G420" s="1629"/>
      <c r="H420" s="603"/>
      <c r="I420" s="600"/>
      <c r="J420" s="600">
        <f>SUM(J418:J419)</f>
        <v>5200</v>
      </c>
      <c r="K420" s="600"/>
      <c r="L420" s="613">
        <f t="shared" si="43"/>
        <v>5200</v>
      </c>
      <c r="M420" s="1630"/>
    </row>
    <row r="421" spans="1:13" ht="22.35" customHeight="1" x14ac:dyDescent="0.35">
      <c r="A421" s="597">
        <v>412</v>
      </c>
      <c r="B421" s="633"/>
      <c r="C421" s="615">
        <v>168</v>
      </c>
      <c r="D421" s="1632" t="s">
        <v>555</v>
      </c>
      <c r="E421" s="609">
        <f>F421+G421+L425+M422</f>
        <v>260000</v>
      </c>
      <c r="F421" s="610"/>
      <c r="G421" s="1629"/>
      <c r="H421" s="603" t="s">
        <v>23</v>
      </c>
      <c r="I421" s="600"/>
      <c r="J421" s="600"/>
      <c r="K421" s="600"/>
      <c r="L421" s="634"/>
      <c r="M421" s="1630"/>
    </row>
    <row r="422" spans="1:13" ht="18" customHeight="1" x14ac:dyDescent="0.3">
      <c r="A422" s="597">
        <v>413</v>
      </c>
      <c r="B422" s="633"/>
      <c r="C422" s="585"/>
      <c r="D422" s="1622" t="s">
        <v>245</v>
      </c>
      <c r="E422" s="600"/>
      <c r="F422" s="610"/>
      <c r="G422" s="1629"/>
      <c r="H422" s="603"/>
      <c r="I422" s="600"/>
      <c r="J422" s="600">
        <v>260000</v>
      </c>
      <c r="K422" s="600"/>
      <c r="L422" s="613">
        <f>SUM(I422:K422)</f>
        <v>260000</v>
      </c>
      <c r="M422" s="1630"/>
    </row>
    <row r="423" spans="1:13" ht="18" customHeight="1" x14ac:dyDescent="0.3">
      <c r="A423" s="597">
        <v>414</v>
      </c>
      <c r="B423" s="633"/>
      <c r="C423" s="585"/>
      <c r="D423" s="1146" t="s">
        <v>810</v>
      </c>
      <c r="E423" s="600"/>
      <c r="F423" s="601"/>
      <c r="G423" s="1629"/>
      <c r="H423" s="603"/>
      <c r="I423" s="600"/>
      <c r="J423" s="600">
        <v>260000</v>
      </c>
      <c r="K423" s="600"/>
      <c r="L423" s="613">
        <f>SUM(I423:K423)</f>
        <v>260000</v>
      </c>
      <c r="M423" s="1630"/>
    </row>
    <row r="424" spans="1:13" ht="18" customHeight="1" x14ac:dyDescent="0.3">
      <c r="A424" s="597">
        <v>415</v>
      </c>
      <c r="B424" s="633"/>
      <c r="C424" s="585"/>
      <c r="D424" s="910" t="s">
        <v>652</v>
      </c>
      <c r="E424" s="600"/>
      <c r="F424" s="601"/>
      <c r="G424" s="1629"/>
      <c r="H424" s="603"/>
      <c r="I424" s="1631"/>
      <c r="J424" s="1631"/>
      <c r="K424" s="1631"/>
      <c r="L424" s="1214">
        <f t="shared" ref="L424:L425" si="44">SUM(I424:K424)</f>
        <v>0</v>
      </c>
      <c r="M424" s="1630"/>
    </row>
    <row r="425" spans="1:13" ht="18" customHeight="1" x14ac:dyDescent="0.3">
      <c r="A425" s="597">
        <v>416</v>
      </c>
      <c r="B425" s="633"/>
      <c r="C425" s="585"/>
      <c r="D425" s="1146" t="s">
        <v>858</v>
      </c>
      <c r="E425" s="600"/>
      <c r="F425" s="601"/>
      <c r="G425" s="1629"/>
      <c r="H425" s="603"/>
      <c r="I425" s="600"/>
      <c r="J425" s="600">
        <f>SUM(J423:J424)</f>
        <v>260000</v>
      </c>
      <c r="K425" s="600"/>
      <c r="L425" s="613">
        <f t="shared" si="44"/>
        <v>260000</v>
      </c>
      <c r="M425" s="1630"/>
    </row>
    <row r="426" spans="1:13" ht="33.75" customHeight="1" x14ac:dyDescent="0.3">
      <c r="A426" s="597">
        <v>417</v>
      </c>
      <c r="B426" s="633"/>
      <c r="C426" s="585">
        <v>169</v>
      </c>
      <c r="D426" s="1605" t="s">
        <v>556</v>
      </c>
      <c r="E426" s="609">
        <f>F426+G426+L430+M427</f>
        <v>63500</v>
      </c>
      <c r="F426" s="601"/>
      <c r="G426" s="1629"/>
      <c r="H426" s="603" t="s">
        <v>24</v>
      </c>
      <c r="I426" s="600"/>
      <c r="J426" s="600"/>
      <c r="K426" s="600"/>
      <c r="L426" s="634"/>
      <c r="M426" s="1630"/>
    </row>
    <row r="427" spans="1:13" ht="18" customHeight="1" x14ac:dyDescent="0.3">
      <c r="A427" s="597">
        <v>418</v>
      </c>
      <c r="B427" s="633"/>
      <c r="C427" s="585"/>
      <c r="D427" s="1622" t="s">
        <v>245</v>
      </c>
      <c r="E427" s="600"/>
      <c r="F427" s="601"/>
      <c r="G427" s="1629"/>
      <c r="H427" s="603"/>
      <c r="I427" s="600"/>
      <c r="J427" s="600">
        <v>63500</v>
      </c>
      <c r="K427" s="600"/>
      <c r="L427" s="613">
        <f>SUM(I427:K427)</f>
        <v>63500</v>
      </c>
      <c r="M427" s="1630"/>
    </row>
    <row r="428" spans="1:13" ht="18" customHeight="1" x14ac:dyDescent="0.3">
      <c r="A428" s="597">
        <v>419</v>
      </c>
      <c r="B428" s="633"/>
      <c r="C428" s="585"/>
      <c r="D428" s="1146" t="s">
        <v>810</v>
      </c>
      <c r="E428" s="600"/>
      <c r="F428" s="601"/>
      <c r="G428" s="1629"/>
      <c r="H428" s="603"/>
      <c r="I428" s="600"/>
      <c r="J428" s="600">
        <v>63500</v>
      </c>
      <c r="K428" s="600"/>
      <c r="L428" s="613">
        <f>SUM(I428:K428)</f>
        <v>63500</v>
      </c>
      <c r="M428" s="1630"/>
    </row>
    <row r="429" spans="1:13" ht="18" customHeight="1" x14ac:dyDescent="0.3">
      <c r="A429" s="597">
        <v>420</v>
      </c>
      <c r="B429" s="633"/>
      <c r="C429" s="585"/>
      <c r="D429" s="910" t="s">
        <v>652</v>
      </c>
      <c r="E429" s="600"/>
      <c r="F429" s="601"/>
      <c r="G429" s="1629"/>
      <c r="H429" s="603"/>
      <c r="I429" s="1631"/>
      <c r="J429" s="1631"/>
      <c r="K429" s="1631"/>
      <c r="L429" s="1214">
        <f t="shared" ref="L429:L430" si="45">SUM(I429:K429)</f>
        <v>0</v>
      </c>
      <c r="M429" s="1630"/>
    </row>
    <row r="430" spans="1:13" ht="18" customHeight="1" x14ac:dyDescent="0.3">
      <c r="A430" s="597">
        <v>421</v>
      </c>
      <c r="B430" s="633"/>
      <c r="C430" s="585"/>
      <c r="D430" s="1146" t="s">
        <v>858</v>
      </c>
      <c r="E430" s="600"/>
      <c r="F430" s="601"/>
      <c r="G430" s="1629"/>
      <c r="H430" s="603"/>
      <c r="I430" s="600"/>
      <c r="J430" s="600">
        <f>SUM(J428:J429)</f>
        <v>63500</v>
      </c>
      <c r="K430" s="600"/>
      <c r="L430" s="613">
        <f t="shared" si="45"/>
        <v>63500</v>
      </c>
      <c r="M430" s="1630"/>
    </row>
    <row r="431" spans="1:13" ht="49.5" x14ac:dyDescent="0.3">
      <c r="A431" s="597">
        <v>422</v>
      </c>
      <c r="B431" s="633"/>
      <c r="C431" s="585">
        <v>170</v>
      </c>
      <c r="D431" s="1605" t="s">
        <v>619</v>
      </c>
      <c r="E431" s="609">
        <f>F431+G431+L435+M432</f>
        <v>101337</v>
      </c>
      <c r="F431" s="601"/>
      <c r="G431" s="1629"/>
      <c r="H431" s="603" t="s">
        <v>24</v>
      </c>
      <c r="I431" s="600"/>
      <c r="J431" s="600"/>
      <c r="K431" s="600"/>
      <c r="L431" s="634"/>
      <c r="M431" s="1630"/>
    </row>
    <row r="432" spans="1:13" ht="18" customHeight="1" x14ac:dyDescent="0.3">
      <c r="A432" s="597">
        <v>423</v>
      </c>
      <c r="B432" s="633"/>
      <c r="C432" s="585"/>
      <c r="D432" s="1622" t="s">
        <v>245</v>
      </c>
      <c r="E432" s="600"/>
      <c r="F432" s="601"/>
      <c r="G432" s="1629"/>
      <c r="H432" s="603"/>
      <c r="I432" s="600"/>
      <c r="J432" s="600">
        <f>123337-15500-6500</f>
        <v>101337</v>
      </c>
      <c r="K432" s="600"/>
      <c r="L432" s="613">
        <f>SUM(I432:K432)</f>
        <v>101337</v>
      </c>
      <c r="M432" s="1630"/>
    </row>
    <row r="433" spans="1:13" ht="18" customHeight="1" x14ac:dyDescent="0.3">
      <c r="A433" s="597">
        <v>424</v>
      </c>
      <c r="B433" s="633"/>
      <c r="C433" s="585"/>
      <c r="D433" s="1146" t="s">
        <v>810</v>
      </c>
      <c r="E433" s="600"/>
      <c r="F433" s="601"/>
      <c r="G433" s="1629"/>
      <c r="H433" s="603"/>
      <c r="I433" s="600"/>
      <c r="J433" s="600">
        <v>101337</v>
      </c>
      <c r="K433" s="600"/>
      <c r="L433" s="613">
        <f>SUM(I433:K433)</f>
        <v>101337</v>
      </c>
      <c r="M433" s="1630"/>
    </row>
    <row r="434" spans="1:13" ht="18" customHeight="1" x14ac:dyDescent="0.3">
      <c r="A434" s="597">
        <v>425</v>
      </c>
      <c r="B434" s="633"/>
      <c r="C434" s="585"/>
      <c r="D434" s="910" t="s">
        <v>652</v>
      </c>
      <c r="E434" s="600"/>
      <c r="F434" s="601"/>
      <c r="G434" s="1629"/>
      <c r="H434" s="603"/>
      <c r="I434" s="1631"/>
      <c r="J434" s="1631"/>
      <c r="K434" s="1631"/>
      <c r="L434" s="1214">
        <f t="shared" ref="L434:L435" si="46">SUM(I434:K434)</f>
        <v>0</v>
      </c>
      <c r="M434" s="1630"/>
    </row>
    <row r="435" spans="1:13" ht="18" customHeight="1" x14ac:dyDescent="0.3">
      <c r="A435" s="597">
        <v>426</v>
      </c>
      <c r="B435" s="633"/>
      <c r="C435" s="585"/>
      <c r="D435" s="1146" t="s">
        <v>858</v>
      </c>
      <c r="E435" s="600"/>
      <c r="F435" s="601"/>
      <c r="G435" s="1629"/>
      <c r="H435" s="603"/>
      <c r="I435" s="600"/>
      <c r="J435" s="600">
        <f>SUM(J433:J434)</f>
        <v>101337</v>
      </c>
      <c r="K435" s="600"/>
      <c r="L435" s="613">
        <f t="shared" si="46"/>
        <v>101337</v>
      </c>
      <c r="M435" s="1630"/>
    </row>
    <row r="436" spans="1:13" ht="22.5" customHeight="1" x14ac:dyDescent="0.3">
      <c r="A436" s="597">
        <v>427</v>
      </c>
      <c r="B436" s="633"/>
      <c r="C436" s="585">
        <v>171</v>
      </c>
      <c r="D436" s="1605" t="s">
        <v>648</v>
      </c>
      <c r="E436" s="609">
        <f>F436+G436+L440+M437</f>
        <v>0</v>
      </c>
      <c r="F436" s="601"/>
      <c r="G436" s="1629"/>
      <c r="H436" s="603" t="s">
        <v>24</v>
      </c>
      <c r="I436" s="600"/>
      <c r="J436" s="600"/>
      <c r="K436" s="600"/>
      <c r="L436" s="634"/>
      <c r="M436" s="1630"/>
    </row>
    <row r="437" spans="1:13" ht="18" customHeight="1" x14ac:dyDescent="0.3">
      <c r="A437" s="597">
        <v>428</v>
      </c>
      <c r="B437" s="633"/>
      <c r="C437" s="585"/>
      <c r="D437" s="1622" t="s">
        <v>245</v>
      </c>
      <c r="E437" s="600"/>
      <c r="F437" s="601"/>
      <c r="G437" s="1629"/>
      <c r="H437" s="603"/>
      <c r="I437" s="600"/>
      <c r="J437" s="600">
        <f>5000+6500</f>
        <v>11500</v>
      </c>
      <c r="K437" s="600"/>
      <c r="L437" s="613">
        <f>SUM(I437:K437)</f>
        <v>11500</v>
      </c>
      <c r="M437" s="1630"/>
    </row>
    <row r="438" spans="1:13" ht="18" customHeight="1" x14ac:dyDescent="0.3">
      <c r="A438" s="597">
        <v>429</v>
      </c>
      <c r="B438" s="633"/>
      <c r="C438" s="585"/>
      <c r="D438" s="1146" t="s">
        <v>810</v>
      </c>
      <c r="E438" s="600"/>
      <c r="F438" s="601"/>
      <c r="G438" s="1629"/>
      <c r="H438" s="603"/>
      <c r="I438" s="600"/>
      <c r="J438" s="600">
        <v>0</v>
      </c>
      <c r="K438" s="600"/>
      <c r="L438" s="613">
        <f>SUM(I438:K438)</f>
        <v>0</v>
      </c>
      <c r="M438" s="1630"/>
    </row>
    <row r="439" spans="1:13" ht="18" customHeight="1" x14ac:dyDescent="0.3">
      <c r="A439" s="597">
        <v>430</v>
      </c>
      <c r="B439" s="633"/>
      <c r="C439" s="585"/>
      <c r="D439" s="910" t="s">
        <v>652</v>
      </c>
      <c r="E439" s="600"/>
      <c r="F439" s="601"/>
      <c r="G439" s="1629"/>
      <c r="H439" s="603"/>
      <c r="I439" s="1631"/>
      <c r="J439" s="1631">
        <v>0</v>
      </c>
      <c r="K439" s="1631"/>
      <c r="L439" s="1214">
        <f t="shared" ref="L439:L440" si="47">SUM(I439:K439)</f>
        <v>0</v>
      </c>
      <c r="M439" s="1630"/>
    </row>
    <row r="440" spans="1:13" ht="18" customHeight="1" x14ac:dyDescent="0.3">
      <c r="A440" s="597">
        <v>431</v>
      </c>
      <c r="B440" s="633"/>
      <c r="C440" s="585"/>
      <c r="D440" s="1146" t="s">
        <v>858</v>
      </c>
      <c r="E440" s="600"/>
      <c r="F440" s="601"/>
      <c r="G440" s="1629"/>
      <c r="H440" s="603"/>
      <c r="I440" s="600"/>
      <c r="J440" s="600">
        <f>SUM(J438:J439)</f>
        <v>0</v>
      </c>
      <c r="K440" s="600"/>
      <c r="L440" s="613">
        <f t="shared" si="47"/>
        <v>0</v>
      </c>
      <c r="M440" s="1630"/>
    </row>
    <row r="441" spans="1:13" ht="22.35" customHeight="1" x14ac:dyDescent="0.35">
      <c r="A441" s="597">
        <v>432</v>
      </c>
      <c r="B441" s="633"/>
      <c r="C441" s="615">
        <v>172</v>
      </c>
      <c r="D441" s="1632" t="s">
        <v>557</v>
      </c>
      <c r="E441" s="609">
        <f>F441+G441+L445+M442</f>
        <v>15000</v>
      </c>
      <c r="F441" s="601"/>
      <c r="G441" s="1629"/>
      <c r="H441" s="603" t="s">
        <v>23</v>
      </c>
      <c r="I441" s="600"/>
      <c r="J441" s="600"/>
      <c r="K441" s="600"/>
      <c r="L441" s="634"/>
      <c r="M441" s="1630"/>
    </row>
    <row r="442" spans="1:13" ht="18" customHeight="1" x14ac:dyDescent="0.3">
      <c r="A442" s="597">
        <v>433</v>
      </c>
      <c r="B442" s="633"/>
      <c r="C442" s="585"/>
      <c r="D442" s="1622" t="s">
        <v>245</v>
      </c>
      <c r="E442" s="600"/>
      <c r="F442" s="601"/>
      <c r="G442" s="1629"/>
      <c r="H442" s="603"/>
      <c r="I442" s="600"/>
      <c r="J442" s="600">
        <v>15000</v>
      </c>
      <c r="K442" s="600"/>
      <c r="L442" s="613">
        <f>SUM(I442:K442)</f>
        <v>15000</v>
      </c>
      <c r="M442" s="1630"/>
    </row>
    <row r="443" spans="1:13" ht="18" customHeight="1" x14ac:dyDescent="0.3">
      <c r="A443" s="597">
        <v>434</v>
      </c>
      <c r="B443" s="633"/>
      <c r="C443" s="585"/>
      <c r="D443" s="1146" t="s">
        <v>810</v>
      </c>
      <c r="E443" s="600"/>
      <c r="F443" s="601"/>
      <c r="G443" s="1629"/>
      <c r="H443" s="603"/>
      <c r="I443" s="600"/>
      <c r="J443" s="600">
        <v>15000</v>
      </c>
      <c r="K443" s="600"/>
      <c r="L443" s="613">
        <f>SUM(I443:K443)</f>
        <v>15000</v>
      </c>
      <c r="M443" s="1630"/>
    </row>
    <row r="444" spans="1:13" ht="18" customHeight="1" x14ac:dyDescent="0.3">
      <c r="A444" s="597">
        <v>435</v>
      </c>
      <c r="B444" s="633"/>
      <c r="C444" s="585"/>
      <c r="D444" s="910" t="s">
        <v>652</v>
      </c>
      <c r="E444" s="600"/>
      <c r="F444" s="601"/>
      <c r="G444" s="1629"/>
      <c r="H444" s="603"/>
      <c r="I444" s="1631"/>
      <c r="J444" s="1631"/>
      <c r="K444" s="1631"/>
      <c r="L444" s="1214">
        <f t="shared" ref="L444:L445" si="48">SUM(I444:K444)</f>
        <v>0</v>
      </c>
      <c r="M444" s="1630"/>
    </row>
    <row r="445" spans="1:13" ht="18" customHeight="1" x14ac:dyDescent="0.3">
      <c r="A445" s="597">
        <v>436</v>
      </c>
      <c r="B445" s="633"/>
      <c r="C445" s="585"/>
      <c r="D445" s="1146" t="s">
        <v>858</v>
      </c>
      <c r="E445" s="600"/>
      <c r="F445" s="601"/>
      <c r="G445" s="1629"/>
      <c r="H445" s="603"/>
      <c r="I445" s="600"/>
      <c r="J445" s="600">
        <f>SUM(J443:J444)</f>
        <v>15000</v>
      </c>
      <c r="K445" s="600"/>
      <c r="L445" s="613">
        <f t="shared" si="48"/>
        <v>15000</v>
      </c>
      <c r="M445" s="1630"/>
    </row>
    <row r="446" spans="1:13" ht="32.25" customHeight="1" x14ac:dyDescent="0.3">
      <c r="A446" s="597">
        <v>437</v>
      </c>
      <c r="B446" s="633"/>
      <c r="C446" s="585">
        <v>174</v>
      </c>
      <c r="D446" s="1601" t="s">
        <v>649</v>
      </c>
      <c r="E446" s="609">
        <f>F446+G446+L450+M447</f>
        <v>15500</v>
      </c>
      <c r="F446" s="601"/>
      <c r="G446" s="1629"/>
      <c r="H446" s="603" t="s">
        <v>24</v>
      </c>
      <c r="I446" s="600"/>
      <c r="J446" s="600"/>
      <c r="K446" s="600"/>
      <c r="L446" s="634"/>
      <c r="M446" s="1630"/>
    </row>
    <row r="447" spans="1:13" ht="18" customHeight="1" x14ac:dyDescent="0.3">
      <c r="A447" s="597">
        <v>438</v>
      </c>
      <c r="B447" s="633"/>
      <c r="C447" s="585"/>
      <c r="D447" s="1622" t="s">
        <v>245</v>
      </c>
      <c r="E447" s="609"/>
      <c r="F447" s="601"/>
      <c r="G447" s="1629"/>
      <c r="H447" s="603"/>
      <c r="I447" s="600"/>
      <c r="J447" s="600">
        <v>15500</v>
      </c>
      <c r="K447" s="600"/>
      <c r="L447" s="613">
        <f>SUM(I447:K447)</f>
        <v>15500</v>
      </c>
      <c r="M447" s="1630"/>
    </row>
    <row r="448" spans="1:13" ht="18" customHeight="1" x14ac:dyDescent="0.3">
      <c r="A448" s="597">
        <v>439</v>
      </c>
      <c r="B448" s="633"/>
      <c r="C448" s="1293"/>
      <c r="D448" s="1146" t="s">
        <v>810</v>
      </c>
      <c r="E448" s="609"/>
      <c r="F448" s="601"/>
      <c r="G448" s="1629"/>
      <c r="H448" s="603"/>
      <c r="I448" s="600"/>
      <c r="J448" s="600">
        <v>15500</v>
      </c>
      <c r="K448" s="600"/>
      <c r="L448" s="613">
        <f>SUM(I448:K448)</f>
        <v>15500</v>
      </c>
      <c r="M448" s="1630"/>
    </row>
    <row r="449" spans="1:13" ht="18" customHeight="1" x14ac:dyDescent="0.3">
      <c r="A449" s="597">
        <v>440</v>
      </c>
      <c r="B449" s="633"/>
      <c r="C449" s="1293"/>
      <c r="D449" s="910" t="s">
        <v>652</v>
      </c>
      <c r="E449" s="609"/>
      <c r="F449" s="610"/>
      <c r="G449" s="1629"/>
      <c r="H449" s="603"/>
      <c r="I449" s="1631"/>
      <c r="J449" s="1631"/>
      <c r="K449" s="1631"/>
      <c r="L449" s="1214">
        <f t="shared" ref="L449:L484" si="49">SUM(I449:K449)</f>
        <v>0</v>
      </c>
      <c r="M449" s="1630"/>
    </row>
    <row r="450" spans="1:13" ht="18" customHeight="1" x14ac:dyDescent="0.3">
      <c r="A450" s="597">
        <v>441</v>
      </c>
      <c r="B450" s="633"/>
      <c r="C450" s="1293"/>
      <c r="D450" s="1146" t="s">
        <v>858</v>
      </c>
      <c r="E450" s="1430"/>
      <c r="F450" s="1327"/>
      <c r="G450" s="1629"/>
      <c r="H450" s="603"/>
      <c r="I450" s="600"/>
      <c r="J450" s="600">
        <f>SUM(J448:J449)</f>
        <v>15500</v>
      </c>
      <c r="K450" s="600"/>
      <c r="L450" s="613">
        <f t="shared" si="49"/>
        <v>15500</v>
      </c>
      <c r="M450" s="1630"/>
    </row>
    <row r="451" spans="1:13" ht="22.35" customHeight="1" x14ac:dyDescent="0.3">
      <c r="A451" s="597">
        <v>442</v>
      </c>
      <c r="B451" s="633"/>
      <c r="C451" s="1293">
        <v>175</v>
      </c>
      <c r="D451" s="1601" t="s">
        <v>684</v>
      </c>
      <c r="E451" s="609">
        <f>F451+G451+L454</f>
        <v>1000</v>
      </c>
      <c r="F451" s="610"/>
      <c r="G451" s="1629"/>
      <c r="H451" s="603" t="s">
        <v>24</v>
      </c>
      <c r="I451" s="600"/>
      <c r="J451" s="600"/>
      <c r="K451" s="600"/>
      <c r="L451" s="634"/>
      <c r="M451" s="1630"/>
    </row>
    <row r="452" spans="1:13" ht="18" customHeight="1" x14ac:dyDescent="0.3">
      <c r="A452" s="597">
        <v>443</v>
      </c>
      <c r="B452" s="633"/>
      <c r="C452" s="1293"/>
      <c r="D452" s="1146" t="s">
        <v>810</v>
      </c>
      <c r="E452" s="609"/>
      <c r="F452" s="610"/>
      <c r="G452" s="1629"/>
      <c r="H452" s="603"/>
      <c r="I452" s="600"/>
      <c r="J452" s="600">
        <v>1000</v>
      </c>
      <c r="K452" s="600"/>
      <c r="L452" s="613">
        <f t="shared" si="49"/>
        <v>1000</v>
      </c>
      <c r="M452" s="1630"/>
    </row>
    <row r="453" spans="1:13" ht="18" customHeight="1" x14ac:dyDescent="0.3">
      <c r="A453" s="597">
        <v>444</v>
      </c>
      <c r="B453" s="633"/>
      <c r="C453" s="1293"/>
      <c r="D453" s="910" t="s">
        <v>652</v>
      </c>
      <c r="E453" s="609"/>
      <c r="F453" s="610"/>
      <c r="G453" s="1629"/>
      <c r="H453" s="603"/>
      <c r="I453" s="600"/>
      <c r="J453" s="1631"/>
      <c r="K453" s="600"/>
      <c r="L453" s="1214">
        <f t="shared" si="49"/>
        <v>0</v>
      </c>
      <c r="M453" s="1630"/>
    </row>
    <row r="454" spans="1:13" ht="18" customHeight="1" x14ac:dyDescent="0.3">
      <c r="A454" s="597">
        <v>445</v>
      </c>
      <c r="B454" s="633"/>
      <c r="C454" s="1293"/>
      <c r="D454" s="1146" t="s">
        <v>858</v>
      </c>
      <c r="E454" s="609"/>
      <c r="F454" s="610"/>
      <c r="G454" s="1629"/>
      <c r="H454" s="603"/>
      <c r="I454" s="600"/>
      <c r="J454" s="600">
        <f>SUM(J452:J453)</f>
        <v>1000</v>
      </c>
      <c r="K454" s="600"/>
      <c r="L454" s="613">
        <f t="shared" si="49"/>
        <v>1000</v>
      </c>
      <c r="M454" s="1630"/>
    </row>
    <row r="455" spans="1:13" ht="22.5" customHeight="1" x14ac:dyDescent="0.3">
      <c r="A455" s="597">
        <v>446</v>
      </c>
      <c r="B455" s="633"/>
      <c r="C455" s="1293">
        <v>176</v>
      </c>
      <c r="D455" s="1601" t="s">
        <v>287</v>
      </c>
      <c r="E455" s="1430">
        <f>F455+G455+L458</f>
        <v>5500</v>
      </c>
      <c r="F455" s="1327"/>
      <c r="G455" s="1629"/>
      <c r="H455" s="603" t="s">
        <v>24</v>
      </c>
      <c r="I455" s="600"/>
      <c r="J455" s="600"/>
      <c r="K455" s="600"/>
      <c r="L455" s="634"/>
      <c r="M455" s="1630"/>
    </row>
    <row r="456" spans="1:13" ht="18" customHeight="1" x14ac:dyDescent="0.3">
      <c r="A456" s="597">
        <v>447</v>
      </c>
      <c r="B456" s="633"/>
      <c r="C456" s="1293"/>
      <c r="D456" s="1146" t="s">
        <v>810</v>
      </c>
      <c r="E456" s="1430"/>
      <c r="F456" s="1327"/>
      <c r="G456" s="1629"/>
      <c r="H456" s="603"/>
      <c r="I456" s="600"/>
      <c r="J456" s="600"/>
      <c r="K456" s="600">
        <v>5500</v>
      </c>
      <c r="L456" s="613">
        <f t="shared" si="49"/>
        <v>5500</v>
      </c>
      <c r="M456" s="1630"/>
    </row>
    <row r="457" spans="1:13" ht="18" customHeight="1" x14ac:dyDescent="0.3">
      <c r="A457" s="597">
        <v>448</v>
      </c>
      <c r="B457" s="633"/>
      <c r="C457" s="1293"/>
      <c r="D457" s="910" t="s">
        <v>652</v>
      </c>
      <c r="E457" s="1430"/>
      <c r="F457" s="1327"/>
      <c r="G457" s="1629"/>
      <c r="H457" s="603"/>
      <c r="I457" s="600"/>
      <c r="J457" s="600"/>
      <c r="K457" s="1631"/>
      <c r="L457" s="1214">
        <f t="shared" si="49"/>
        <v>0</v>
      </c>
      <c r="M457" s="1630"/>
    </row>
    <row r="458" spans="1:13" ht="18" customHeight="1" x14ac:dyDescent="0.3">
      <c r="A458" s="597">
        <v>449</v>
      </c>
      <c r="B458" s="633"/>
      <c r="C458" s="1293"/>
      <c r="D458" s="1146" t="s">
        <v>858</v>
      </c>
      <c r="E458" s="1430"/>
      <c r="F458" s="1327"/>
      <c r="G458" s="1629"/>
      <c r="H458" s="603"/>
      <c r="I458" s="600"/>
      <c r="J458" s="600"/>
      <c r="K458" s="600">
        <f>SUM(K456:K457)</f>
        <v>5500</v>
      </c>
      <c r="L458" s="613">
        <f t="shared" si="49"/>
        <v>5500</v>
      </c>
      <c r="M458" s="1630"/>
    </row>
    <row r="459" spans="1:13" ht="37.5" customHeight="1" x14ac:dyDescent="0.3">
      <c r="A459" s="597">
        <v>450</v>
      </c>
      <c r="B459" s="633"/>
      <c r="C459" s="1293">
        <v>177</v>
      </c>
      <c r="D459" s="1601" t="s">
        <v>725</v>
      </c>
      <c r="E459" s="1430">
        <f>F459+G459+L462</f>
        <v>6174</v>
      </c>
      <c r="F459" s="1327"/>
      <c r="G459" s="1629"/>
      <c r="H459" s="603" t="s">
        <v>23</v>
      </c>
      <c r="I459" s="600"/>
      <c r="J459" s="600"/>
      <c r="K459" s="600"/>
      <c r="L459" s="634"/>
      <c r="M459" s="1630"/>
    </row>
    <row r="460" spans="1:13" ht="18" customHeight="1" x14ac:dyDescent="0.3">
      <c r="A460" s="597">
        <v>451</v>
      </c>
      <c r="B460" s="633"/>
      <c r="C460" s="1293"/>
      <c r="D460" s="1146" t="s">
        <v>810</v>
      </c>
      <c r="E460" s="1430"/>
      <c r="F460" s="1327"/>
      <c r="G460" s="1629"/>
      <c r="H460" s="603"/>
      <c r="I460" s="600"/>
      <c r="J460" s="600">
        <v>6174</v>
      </c>
      <c r="K460" s="600"/>
      <c r="L460" s="613">
        <f t="shared" si="49"/>
        <v>6174</v>
      </c>
      <c r="M460" s="1630"/>
    </row>
    <row r="461" spans="1:13" ht="18" customHeight="1" x14ac:dyDescent="0.3">
      <c r="A461" s="597">
        <v>452</v>
      </c>
      <c r="B461" s="633"/>
      <c r="C461" s="1293"/>
      <c r="D461" s="910" t="s">
        <v>652</v>
      </c>
      <c r="E461" s="1430"/>
      <c r="F461" s="1327"/>
      <c r="G461" s="1629"/>
      <c r="H461" s="603"/>
      <c r="I461" s="600"/>
      <c r="J461" s="1631"/>
      <c r="K461" s="1631"/>
      <c r="L461" s="1214">
        <f t="shared" si="49"/>
        <v>0</v>
      </c>
      <c r="M461" s="1630"/>
    </row>
    <row r="462" spans="1:13" ht="18" customHeight="1" x14ac:dyDescent="0.3">
      <c r="A462" s="597">
        <v>453</v>
      </c>
      <c r="B462" s="633"/>
      <c r="C462" s="1293"/>
      <c r="D462" s="1146" t="s">
        <v>858</v>
      </c>
      <c r="E462" s="1430"/>
      <c r="F462" s="1327"/>
      <c r="G462" s="1629"/>
      <c r="H462" s="603"/>
      <c r="I462" s="600"/>
      <c r="J462" s="600">
        <f>SUM(J460:J461)</f>
        <v>6174</v>
      </c>
      <c r="K462" s="600"/>
      <c r="L462" s="613">
        <f t="shared" si="49"/>
        <v>6174</v>
      </c>
      <c r="M462" s="1630"/>
    </row>
    <row r="463" spans="1:13" ht="22.5" customHeight="1" x14ac:dyDescent="0.3">
      <c r="A463" s="597">
        <v>454</v>
      </c>
      <c r="B463" s="633"/>
      <c r="C463" s="1293">
        <v>178</v>
      </c>
      <c r="D463" s="1601" t="s">
        <v>714</v>
      </c>
      <c r="E463" s="1430">
        <f>F463+G463+L466</f>
        <v>8700</v>
      </c>
      <c r="F463" s="1327"/>
      <c r="G463" s="1629"/>
      <c r="H463" s="603" t="s">
        <v>24</v>
      </c>
      <c r="I463" s="600"/>
      <c r="J463" s="600"/>
      <c r="K463" s="600"/>
      <c r="L463" s="634"/>
      <c r="M463" s="1630"/>
    </row>
    <row r="464" spans="1:13" ht="18" customHeight="1" x14ac:dyDescent="0.3">
      <c r="A464" s="597">
        <v>455</v>
      </c>
      <c r="B464" s="633"/>
      <c r="C464" s="1293"/>
      <c r="D464" s="1146" t="s">
        <v>810</v>
      </c>
      <c r="E464" s="1430"/>
      <c r="F464" s="1327"/>
      <c r="G464" s="1629"/>
      <c r="H464" s="603"/>
      <c r="I464" s="600"/>
      <c r="J464" s="600">
        <v>8700</v>
      </c>
      <c r="K464" s="600"/>
      <c r="L464" s="613">
        <f t="shared" si="49"/>
        <v>8700</v>
      </c>
      <c r="M464" s="1630"/>
    </row>
    <row r="465" spans="1:13" ht="18" customHeight="1" x14ac:dyDescent="0.3">
      <c r="A465" s="597">
        <v>456</v>
      </c>
      <c r="B465" s="633"/>
      <c r="C465" s="1293"/>
      <c r="D465" s="910" t="s">
        <v>652</v>
      </c>
      <c r="E465" s="1430"/>
      <c r="F465" s="1327"/>
      <c r="G465" s="1629"/>
      <c r="H465" s="603"/>
      <c r="I465" s="600"/>
      <c r="J465" s="1631"/>
      <c r="K465" s="600"/>
      <c r="L465" s="1214">
        <f t="shared" si="49"/>
        <v>0</v>
      </c>
      <c r="M465" s="1630"/>
    </row>
    <row r="466" spans="1:13" ht="18" customHeight="1" x14ac:dyDescent="0.3">
      <c r="A466" s="597">
        <v>457</v>
      </c>
      <c r="B466" s="633"/>
      <c r="C466" s="1293"/>
      <c r="D466" s="1146" t="s">
        <v>858</v>
      </c>
      <c r="E466" s="1430"/>
      <c r="F466" s="1327"/>
      <c r="G466" s="1629"/>
      <c r="H466" s="603"/>
      <c r="I466" s="600"/>
      <c r="J466" s="600">
        <f>SUM(J464:J465)</f>
        <v>8700</v>
      </c>
      <c r="K466" s="600"/>
      <c r="L466" s="613">
        <f t="shared" si="49"/>
        <v>8700</v>
      </c>
      <c r="M466" s="1630"/>
    </row>
    <row r="467" spans="1:13" ht="32.25" customHeight="1" x14ac:dyDescent="0.3">
      <c r="A467" s="597">
        <v>458</v>
      </c>
      <c r="B467" s="633"/>
      <c r="C467" s="1293">
        <v>179</v>
      </c>
      <c r="D467" s="1601" t="s">
        <v>716</v>
      </c>
      <c r="E467" s="1430">
        <f>F467+G467+L470</f>
        <v>1500</v>
      </c>
      <c r="F467" s="1327"/>
      <c r="G467" s="1629"/>
      <c r="H467" s="603" t="s">
        <v>24</v>
      </c>
      <c r="I467" s="600"/>
      <c r="J467" s="600"/>
      <c r="K467" s="600"/>
      <c r="L467" s="634"/>
      <c r="M467" s="1630"/>
    </row>
    <row r="468" spans="1:13" ht="18" customHeight="1" x14ac:dyDescent="0.3">
      <c r="A468" s="597">
        <v>459</v>
      </c>
      <c r="B468" s="633"/>
      <c r="C468" s="1293"/>
      <c r="D468" s="1146" t="s">
        <v>810</v>
      </c>
      <c r="E468" s="1430"/>
      <c r="F468" s="1327"/>
      <c r="G468" s="1629"/>
      <c r="H468" s="603"/>
      <c r="I468" s="600"/>
      <c r="J468" s="600"/>
      <c r="K468" s="600">
        <v>1500</v>
      </c>
      <c r="L468" s="613">
        <f t="shared" si="49"/>
        <v>1500</v>
      </c>
      <c r="M468" s="1630"/>
    </row>
    <row r="469" spans="1:13" ht="18" customHeight="1" x14ac:dyDescent="0.3">
      <c r="A469" s="597">
        <v>460</v>
      </c>
      <c r="B469" s="633"/>
      <c r="C469" s="1293"/>
      <c r="D469" s="910" t="s">
        <v>652</v>
      </c>
      <c r="E469" s="1430"/>
      <c r="F469" s="1327"/>
      <c r="G469" s="1629"/>
      <c r="H469" s="603"/>
      <c r="I469" s="600"/>
      <c r="J469" s="1631"/>
      <c r="K469" s="1631"/>
      <c r="L469" s="1214">
        <f t="shared" si="49"/>
        <v>0</v>
      </c>
      <c r="M469" s="1630"/>
    </row>
    <row r="470" spans="1:13" ht="18" customHeight="1" x14ac:dyDescent="0.3">
      <c r="A470" s="597">
        <v>461</v>
      </c>
      <c r="B470" s="633"/>
      <c r="C470" s="1293"/>
      <c r="D470" s="1146" t="s">
        <v>858</v>
      </c>
      <c r="E470" s="1430"/>
      <c r="F470" s="1327"/>
      <c r="G470" s="1629"/>
      <c r="H470" s="603"/>
      <c r="I470" s="600"/>
      <c r="J470" s="600"/>
      <c r="K470" s="600">
        <f>SUM(K468:K469)</f>
        <v>1500</v>
      </c>
      <c r="L470" s="613">
        <f t="shared" si="49"/>
        <v>1500</v>
      </c>
      <c r="M470" s="1630"/>
    </row>
    <row r="471" spans="1:13" ht="54" customHeight="1" x14ac:dyDescent="0.3">
      <c r="A471" s="597">
        <v>462</v>
      </c>
      <c r="B471" s="633"/>
      <c r="C471" s="1293">
        <v>180</v>
      </c>
      <c r="D471" s="1627" t="s">
        <v>851</v>
      </c>
      <c r="E471" s="1430">
        <f>F471+G471+L474+M473</f>
        <v>36760</v>
      </c>
      <c r="F471" s="1327"/>
      <c r="G471" s="1629"/>
      <c r="H471" s="603" t="s">
        <v>23</v>
      </c>
      <c r="I471" s="600"/>
      <c r="J471" s="600"/>
      <c r="K471" s="600"/>
      <c r="L471" s="634"/>
      <c r="M471" s="1630"/>
    </row>
    <row r="472" spans="1:13" ht="18" customHeight="1" x14ac:dyDescent="0.3">
      <c r="A472" s="597">
        <v>463</v>
      </c>
      <c r="B472" s="633"/>
      <c r="C472" s="1293"/>
      <c r="D472" s="1146" t="s">
        <v>810</v>
      </c>
      <c r="E472" s="1430"/>
      <c r="F472" s="1327"/>
      <c r="G472" s="1629"/>
      <c r="H472" s="603"/>
      <c r="I472" s="600"/>
      <c r="J472" s="600"/>
      <c r="K472" s="600">
        <v>36760</v>
      </c>
      <c r="L472" s="613">
        <f t="shared" si="49"/>
        <v>36760</v>
      </c>
      <c r="M472" s="1630"/>
    </row>
    <row r="473" spans="1:13" ht="18" customHeight="1" x14ac:dyDescent="0.3">
      <c r="A473" s="597">
        <v>464</v>
      </c>
      <c r="B473" s="633"/>
      <c r="C473" s="1293"/>
      <c r="D473" s="910" t="s">
        <v>652</v>
      </c>
      <c r="E473" s="609"/>
      <c r="F473" s="1327"/>
      <c r="G473" s="1629"/>
      <c r="H473" s="603"/>
      <c r="I473" s="600"/>
      <c r="J473" s="600"/>
      <c r="K473" s="600"/>
      <c r="L473" s="1214">
        <f t="shared" si="49"/>
        <v>0</v>
      </c>
      <c r="M473" s="1630"/>
    </row>
    <row r="474" spans="1:13" ht="18" customHeight="1" x14ac:dyDescent="0.3">
      <c r="A474" s="597">
        <v>465</v>
      </c>
      <c r="B474" s="633"/>
      <c r="C474" s="1293"/>
      <c r="D474" s="377" t="s">
        <v>858</v>
      </c>
      <c r="E474" s="1430"/>
      <c r="F474" s="1327"/>
      <c r="G474" s="1629"/>
      <c r="H474" s="603"/>
      <c r="I474" s="600"/>
      <c r="J474" s="600"/>
      <c r="K474" s="600">
        <f>SUM(K472:K473)</f>
        <v>36760</v>
      </c>
      <c r="L474" s="613">
        <f t="shared" si="49"/>
        <v>36760</v>
      </c>
      <c r="M474" s="1630"/>
    </row>
    <row r="475" spans="1:13" ht="22.5" customHeight="1" x14ac:dyDescent="0.3">
      <c r="A475" s="597">
        <v>466</v>
      </c>
      <c r="B475" s="633"/>
      <c r="C475" s="1293">
        <v>181</v>
      </c>
      <c r="D475" s="1627" t="s">
        <v>816</v>
      </c>
      <c r="E475" s="609">
        <f>F475+G475+L478</f>
        <v>22597</v>
      </c>
      <c r="F475" s="610"/>
      <c r="G475" s="1629"/>
      <c r="H475" s="603" t="s">
        <v>23</v>
      </c>
      <c r="I475" s="600"/>
      <c r="J475" s="600"/>
      <c r="K475" s="600"/>
      <c r="L475" s="634"/>
      <c r="M475" s="1630"/>
    </row>
    <row r="476" spans="1:13" ht="18" customHeight="1" x14ac:dyDescent="0.3">
      <c r="A476" s="597">
        <v>467</v>
      </c>
      <c r="B476" s="633"/>
      <c r="C476" s="1293"/>
      <c r="D476" s="1146" t="s">
        <v>810</v>
      </c>
      <c r="E476" s="609"/>
      <c r="F476" s="610"/>
      <c r="G476" s="1629"/>
      <c r="H476" s="603"/>
      <c r="I476" s="600"/>
      <c r="J476" s="600">
        <v>22597</v>
      </c>
      <c r="K476" s="600"/>
      <c r="L476" s="613">
        <f t="shared" si="49"/>
        <v>22597</v>
      </c>
      <c r="M476" s="1630"/>
    </row>
    <row r="477" spans="1:13" ht="18" customHeight="1" x14ac:dyDescent="0.3">
      <c r="A477" s="597">
        <v>468</v>
      </c>
      <c r="B477" s="633"/>
      <c r="C477" s="1293"/>
      <c r="D477" s="910" t="s">
        <v>857</v>
      </c>
      <c r="E477" s="609"/>
      <c r="F477" s="610"/>
      <c r="G477" s="1629"/>
      <c r="H477" s="603"/>
      <c r="I477" s="600"/>
      <c r="J477" s="1631"/>
      <c r="K477" s="600"/>
      <c r="L477" s="613">
        <f t="shared" si="49"/>
        <v>0</v>
      </c>
      <c r="M477" s="1630"/>
    </row>
    <row r="478" spans="1:13" ht="18" customHeight="1" x14ac:dyDescent="0.3">
      <c r="A478" s="597">
        <v>469</v>
      </c>
      <c r="B478" s="633"/>
      <c r="C478" s="1293"/>
      <c r="D478" s="377" t="s">
        <v>858</v>
      </c>
      <c r="E478" s="609"/>
      <c r="F478" s="610"/>
      <c r="G478" s="1629"/>
      <c r="H478" s="603"/>
      <c r="I478" s="600"/>
      <c r="J478" s="600">
        <f>SUM(J476:J477)</f>
        <v>22597</v>
      </c>
      <c r="K478" s="600"/>
      <c r="L478" s="613">
        <f t="shared" si="49"/>
        <v>22597</v>
      </c>
      <c r="M478" s="1630"/>
    </row>
    <row r="479" spans="1:13" ht="22.5" customHeight="1" x14ac:dyDescent="0.3">
      <c r="A479" s="597">
        <v>470</v>
      </c>
      <c r="B479" s="633"/>
      <c r="C479" s="1293">
        <v>182</v>
      </c>
      <c r="D479" s="1627" t="s">
        <v>820</v>
      </c>
      <c r="E479" s="609">
        <f>F479+G479+L482</f>
        <v>1000</v>
      </c>
      <c r="F479" s="610"/>
      <c r="G479" s="1629"/>
      <c r="H479" s="603" t="s">
        <v>24</v>
      </c>
      <c r="I479" s="600"/>
      <c r="J479" s="600"/>
      <c r="K479" s="600"/>
      <c r="L479" s="634"/>
      <c r="M479" s="1630"/>
    </row>
    <row r="480" spans="1:13" ht="18" customHeight="1" x14ac:dyDescent="0.3">
      <c r="A480" s="597">
        <v>471</v>
      </c>
      <c r="B480" s="633"/>
      <c r="C480" s="1293"/>
      <c r="D480" s="1146" t="s">
        <v>810</v>
      </c>
      <c r="E480" s="609"/>
      <c r="F480" s="610"/>
      <c r="G480" s="1629"/>
      <c r="H480" s="603"/>
      <c r="I480" s="600"/>
      <c r="J480" s="600">
        <v>1000</v>
      </c>
      <c r="K480" s="600"/>
      <c r="L480" s="613">
        <f t="shared" si="49"/>
        <v>1000</v>
      </c>
      <c r="M480" s="1630"/>
    </row>
    <row r="481" spans="1:13" ht="18" customHeight="1" x14ac:dyDescent="0.3">
      <c r="A481" s="597">
        <v>472</v>
      </c>
      <c r="B481" s="633"/>
      <c r="C481" s="1293"/>
      <c r="D481" s="910" t="s">
        <v>652</v>
      </c>
      <c r="E481" s="609"/>
      <c r="F481" s="610"/>
      <c r="G481" s="1629"/>
      <c r="H481" s="603"/>
      <c r="I481" s="600"/>
      <c r="J481" s="1631"/>
      <c r="K481" s="600"/>
      <c r="L481" s="1214">
        <f t="shared" si="49"/>
        <v>0</v>
      </c>
      <c r="M481" s="1630"/>
    </row>
    <row r="482" spans="1:13" ht="18" customHeight="1" x14ac:dyDescent="0.3">
      <c r="A482" s="597">
        <v>473</v>
      </c>
      <c r="B482" s="633"/>
      <c r="C482" s="1293"/>
      <c r="D482" s="377" t="s">
        <v>858</v>
      </c>
      <c r="E482" s="609"/>
      <c r="F482" s="610"/>
      <c r="G482" s="1629"/>
      <c r="H482" s="603"/>
      <c r="I482" s="600"/>
      <c r="J482" s="600">
        <f>SUM(J480:J481)</f>
        <v>1000</v>
      </c>
      <c r="K482" s="600"/>
      <c r="L482" s="613">
        <f t="shared" si="49"/>
        <v>1000</v>
      </c>
      <c r="M482" s="1630"/>
    </row>
    <row r="483" spans="1:13" ht="22.5" customHeight="1" x14ac:dyDescent="0.3">
      <c r="A483" s="597">
        <v>474</v>
      </c>
      <c r="B483" s="633"/>
      <c r="C483" s="1293">
        <v>183</v>
      </c>
      <c r="D483" s="1627" t="s">
        <v>828</v>
      </c>
      <c r="E483" s="1430">
        <f>F483+G483+L486</f>
        <v>5200</v>
      </c>
      <c r="F483" s="1327"/>
      <c r="G483" s="1629"/>
      <c r="H483" s="603" t="s">
        <v>24</v>
      </c>
      <c r="I483" s="600"/>
      <c r="J483" s="600"/>
      <c r="K483" s="600"/>
      <c r="L483" s="634"/>
      <c r="M483" s="1630"/>
    </row>
    <row r="484" spans="1:13" ht="18" customHeight="1" x14ac:dyDescent="0.3">
      <c r="A484" s="597">
        <v>475</v>
      </c>
      <c r="B484" s="633"/>
      <c r="C484" s="1293"/>
      <c r="D484" s="377" t="s">
        <v>810</v>
      </c>
      <c r="E484" s="1430"/>
      <c r="F484" s="1327"/>
      <c r="G484" s="1629"/>
      <c r="H484" s="603"/>
      <c r="I484" s="600"/>
      <c r="J484" s="600">
        <v>5200</v>
      </c>
      <c r="K484" s="600"/>
      <c r="L484" s="613">
        <f t="shared" si="49"/>
        <v>5200</v>
      </c>
      <c r="M484" s="1630"/>
    </row>
    <row r="485" spans="1:13" ht="18" customHeight="1" x14ac:dyDescent="0.3">
      <c r="A485" s="597">
        <v>476</v>
      </c>
      <c r="B485" s="633"/>
      <c r="C485" s="1293"/>
      <c r="D485" s="910" t="s">
        <v>652</v>
      </c>
      <c r="E485" s="1430"/>
      <c r="F485" s="1327"/>
      <c r="G485" s="1629"/>
      <c r="H485" s="603"/>
      <c r="I485" s="600"/>
      <c r="J485" s="1631"/>
      <c r="K485" s="600"/>
      <c r="L485" s="1214">
        <f t="shared" ref="L485:L486" si="50">SUM(I485:K485)</f>
        <v>0</v>
      </c>
      <c r="M485" s="1630"/>
    </row>
    <row r="486" spans="1:13" ht="18" customHeight="1" x14ac:dyDescent="0.3">
      <c r="A486" s="597">
        <v>477</v>
      </c>
      <c r="B486" s="633"/>
      <c r="C486" s="1293"/>
      <c r="D486" s="377" t="s">
        <v>858</v>
      </c>
      <c r="E486" s="1430"/>
      <c r="F486" s="1327"/>
      <c r="G486" s="1629"/>
      <c r="H486" s="603"/>
      <c r="I486" s="600"/>
      <c r="J486" s="600">
        <f>SUM(J484:J485)</f>
        <v>5200</v>
      </c>
      <c r="K486" s="600"/>
      <c r="L486" s="613">
        <f t="shared" si="50"/>
        <v>5200</v>
      </c>
      <c r="M486" s="1630"/>
    </row>
    <row r="487" spans="1:13" ht="22.5" customHeight="1" x14ac:dyDescent="0.3">
      <c r="A487" s="597">
        <v>478</v>
      </c>
      <c r="B487" s="633"/>
      <c r="C487" s="1293">
        <v>184</v>
      </c>
      <c r="D487" s="1627" t="s">
        <v>829</v>
      </c>
      <c r="E487" s="1430">
        <f>F487+G487+L490</f>
        <v>4000</v>
      </c>
      <c r="F487" s="1327"/>
      <c r="G487" s="1629"/>
      <c r="H487" s="603" t="s">
        <v>24</v>
      </c>
      <c r="I487" s="600"/>
      <c r="J487" s="600"/>
      <c r="K487" s="600"/>
      <c r="L487" s="634"/>
      <c r="M487" s="1630"/>
    </row>
    <row r="488" spans="1:13" ht="18" customHeight="1" x14ac:dyDescent="0.3">
      <c r="A488" s="597">
        <v>479</v>
      </c>
      <c r="B488" s="633"/>
      <c r="C488" s="1293"/>
      <c r="D488" s="377" t="s">
        <v>810</v>
      </c>
      <c r="E488" s="1430"/>
      <c r="F488" s="1327"/>
      <c r="G488" s="1629"/>
      <c r="H488" s="603"/>
      <c r="I488" s="600"/>
      <c r="J488" s="600">
        <v>4000</v>
      </c>
      <c r="K488" s="600"/>
      <c r="L488" s="613">
        <f t="shared" ref="L488" si="51">SUM(I488:K488)</f>
        <v>4000</v>
      </c>
      <c r="M488" s="1630"/>
    </row>
    <row r="489" spans="1:13" ht="18" customHeight="1" x14ac:dyDescent="0.3">
      <c r="A489" s="597">
        <v>480</v>
      </c>
      <c r="B489" s="633"/>
      <c r="C489" s="1293"/>
      <c r="D489" s="910" t="s">
        <v>652</v>
      </c>
      <c r="E489" s="1430"/>
      <c r="F489" s="1327"/>
      <c r="G489" s="1629"/>
      <c r="H489" s="603"/>
      <c r="I489" s="600"/>
      <c r="J489" s="1631"/>
      <c r="K489" s="600"/>
      <c r="L489" s="1214">
        <f t="shared" ref="L489:L494" si="52">SUM(I489:K489)</f>
        <v>0</v>
      </c>
      <c r="M489" s="1630"/>
    </row>
    <row r="490" spans="1:13" ht="18" customHeight="1" x14ac:dyDescent="0.3">
      <c r="A490" s="597">
        <v>481</v>
      </c>
      <c r="B490" s="633"/>
      <c r="C490" s="1293"/>
      <c r="D490" s="377" t="s">
        <v>858</v>
      </c>
      <c r="E490" s="1430"/>
      <c r="F490" s="1327"/>
      <c r="G490" s="1629"/>
      <c r="H490" s="603"/>
      <c r="I490" s="600"/>
      <c r="J490" s="600">
        <f>SUM(J488:J489)</f>
        <v>4000</v>
      </c>
      <c r="K490" s="600"/>
      <c r="L490" s="613">
        <f t="shared" si="52"/>
        <v>4000</v>
      </c>
      <c r="M490" s="1630"/>
    </row>
    <row r="491" spans="1:13" ht="22.5" customHeight="1" x14ac:dyDescent="0.3">
      <c r="A491" s="597">
        <v>482</v>
      </c>
      <c r="B491" s="633"/>
      <c r="C491" s="1293">
        <v>185</v>
      </c>
      <c r="D491" s="1627" t="s">
        <v>854</v>
      </c>
      <c r="E491" s="1430">
        <f>F491+G491+L494</f>
        <v>445</v>
      </c>
      <c r="F491" s="1327"/>
      <c r="G491" s="1629"/>
      <c r="H491" s="603" t="s">
        <v>23</v>
      </c>
      <c r="I491" s="600"/>
      <c r="J491" s="600"/>
      <c r="K491" s="600"/>
      <c r="L491" s="634"/>
      <c r="M491" s="1630"/>
    </row>
    <row r="492" spans="1:13" ht="18" customHeight="1" x14ac:dyDescent="0.3">
      <c r="A492" s="597">
        <v>483</v>
      </c>
      <c r="B492" s="633"/>
      <c r="C492" s="1293"/>
      <c r="D492" s="377" t="s">
        <v>810</v>
      </c>
      <c r="E492" s="1430"/>
      <c r="F492" s="1327"/>
      <c r="G492" s="1629"/>
      <c r="H492" s="603"/>
      <c r="I492" s="600"/>
      <c r="J492" s="600">
        <v>445</v>
      </c>
      <c r="K492" s="600"/>
      <c r="L492" s="613">
        <f t="shared" ref="L492" si="53">SUM(I492:K492)</f>
        <v>445</v>
      </c>
      <c r="M492" s="1630"/>
    </row>
    <row r="493" spans="1:13" ht="18" customHeight="1" x14ac:dyDescent="0.3">
      <c r="A493" s="597">
        <v>484</v>
      </c>
      <c r="B493" s="633"/>
      <c r="C493" s="1293"/>
      <c r="D493" s="910" t="s">
        <v>652</v>
      </c>
      <c r="E493" s="1430"/>
      <c r="F493" s="1327"/>
      <c r="G493" s="1629"/>
      <c r="H493" s="603"/>
      <c r="I493" s="600"/>
      <c r="J493" s="1631"/>
      <c r="K493" s="600"/>
      <c r="L493" s="1214">
        <f t="shared" si="52"/>
        <v>0</v>
      </c>
      <c r="M493" s="1630"/>
    </row>
    <row r="494" spans="1:13" ht="18" customHeight="1" x14ac:dyDescent="0.3">
      <c r="A494" s="597">
        <v>485</v>
      </c>
      <c r="B494" s="633"/>
      <c r="C494" s="1293"/>
      <c r="D494" s="377" t="s">
        <v>858</v>
      </c>
      <c r="E494" s="1430"/>
      <c r="F494" s="1327"/>
      <c r="G494" s="1629"/>
      <c r="H494" s="603"/>
      <c r="I494" s="600"/>
      <c r="J494" s="600">
        <f>SUM(J492:J493)</f>
        <v>445</v>
      </c>
      <c r="K494" s="600"/>
      <c r="L494" s="613">
        <f t="shared" si="52"/>
        <v>445</v>
      </c>
      <c r="M494" s="1630"/>
    </row>
    <row r="495" spans="1:13" ht="22.5" customHeight="1" x14ac:dyDescent="0.35">
      <c r="A495" s="597">
        <v>486</v>
      </c>
      <c r="B495" s="633"/>
      <c r="C495" s="1293"/>
      <c r="D495" s="1635" t="s">
        <v>247</v>
      </c>
      <c r="E495" s="1430"/>
      <c r="F495" s="1327"/>
      <c r="G495" s="1629"/>
      <c r="H495" s="603" t="s">
        <v>23</v>
      </c>
      <c r="I495" s="600"/>
      <c r="J495" s="600"/>
      <c r="K495" s="600"/>
      <c r="L495" s="634"/>
      <c r="M495" s="1630"/>
    </row>
    <row r="496" spans="1:13" ht="18" customHeight="1" x14ac:dyDescent="0.3">
      <c r="A496" s="597">
        <v>487</v>
      </c>
      <c r="B496" s="633"/>
      <c r="C496" s="1293">
        <v>186</v>
      </c>
      <c r="D496" s="1627" t="s">
        <v>846</v>
      </c>
      <c r="E496" s="1430">
        <f>F496+G496+L499</f>
        <v>3000</v>
      </c>
      <c r="F496" s="1327"/>
      <c r="G496" s="1629"/>
      <c r="H496" s="603"/>
      <c r="I496" s="600"/>
      <c r="J496" s="600"/>
      <c r="K496" s="600"/>
      <c r="L496" s="634"/>
      <c r="M496" s="1630"/>
    </row>
    <row r="497" spans="1:13" ht="18" customHeight="1" x14ac:dyDescent="0.3">
      <c r="A497" s="597">
        <v>488</v>
      </c>
      <c r="B497" s="633"/>
      <c r="C497" s="1293"/>
      <c r="D497" s="377" t="s">
        <v>810</v>
      </c>
      <c r="E497" s="1430"/>
      <c r="F497" s="1327"/>
      <c r="G497" s="1629"/>
      <c r="H497" s="603"/>
      <c r="I497" s="600"/>
      <c r="J497" s="600">
        <v>3000</v>
      </c>
      <c r="K497" s="600"/>
      <c r="L497" s="613">
        <f t="shared" ref="L497" si="54">SUM(I497:K497)</f>
        <v>3000</v>
      </c>
      <c r="M497" s="1630"/>
    </row>
    <row r="498" spans="1:13" ht="18" customHeight="1" x14ac:dyDescent="0.3">
      <c r="A498" s="597">
        <v>489</v>
      </c>
      <c r="B498" s="633"/>
      <c r="C498" s="1293"/>
      <c r="D498" s="910" t="s">
        <v>652</v>
      </c>
      <c r="E498" s="1430"/>
      <c r="F498" s="1327"/>
      <c r="G498" s="1629"/>
      <c r="H498" s="603"/>
      <c r="I498" s="600"/>
      <c r="J498" s="1631">
        <v>0</v>
      </c>
      <c r="K498" s="600"/>
      <c r="L498" s="1214">
        <f t="shared" ref="L498:L499" si="55">SUM(I498:K498)</f>
        <v>0</v>
      </c>
      <c r="M498" s="1630"/>
    </row>
    <row r="499" spans="1:13" ht="18" customHeight="1" x14ac:dyDescent="0.3">
      <c r="A499" s="597">
        <v>490</v>
      </c>
      <c r="B499" s="633"/>
      <c r="C499" s="1293"/>
      <c r="D499" s="377" t="s">
        <v>858</v>
      </c>
      <c r="E499" s="1430"/>
      <c r="F499" s="1327"/>
      <c r="G499" s="1629"/>
      <c r="H499" s="603"/>
      <c r="I499" s="600"/>
      <c r="J499" s="600">
        <f>SUM(J497:J498)</f>
        <v>3000</v>
      </c>
      <c r="K499" s="600"/>
      <c r="L499" s="613">
        <f t="shared" si="55"/>
        <v>3000</v>
      </c>
      <c r="M499" s="1630"/>
    </row>
    <row r="500" spans="1:13" ht="22.5" customHeight="1" x14ac:dyDescent="0.35">
      <c r="A500" s="597">
        <v>491</v>
      </c>
      <c r="B500" s="633"/>
      <c r="C500" s="1293"/>
      <c r="D500" s="1636" t="s">
        <v>253</v>
      </c>
      <c r="E500" s="1430"/>
      <c r="F500" s="1327"/>
      <c r="G500" s="1629"/>
      <c r="H500" s="603" t="s">
        <v>23</v>
      </c>
      <c r="I500" s="600"/>
      <c r="J500" s="600"/>
      <c r="K500" s="600"/>
      <c r="L500" s="634"/>
      <c r="M500" s="1630"/>
    </row>
    <row r="501" spans="1:13" ht="18" customHeight="1" x14ac:dyDescent="0.3">
      <c r="A501" s="597">
        <v>492</v>
      </c>
      <c r="B501" s="633"/>
      <c r="C501" s="1293">
        <v>187</v>
      </c>
      <c r="D501" s="1627" t="s">
        <v>847</v>
      </c>
      <c r="E501" s="1430">
        <f>F501+G501+L504</f>
        <v>5700</v>
      </c>
      <c r="F501" s="1327"/>
      <c r="G501" s="1629"/>
      <c r="H501" s="603"/>
      <c r="I501" s="600"/>
      <c r="J501" s="600"/>
      <c r="K501" s="600"/>
      <c r="L501" s="634"/>
      <c r="M501" s="1630"/>
    </row>
    <row r="502" spans="1:13" ht="18" customHeight="1" x14ac:dyDescent="0.3">
      <c r="A502" s="597">
        <v>493</v>
      </c>
      <c r="B502" s="633"/>
      <c r="C502" s="1293"/>
      <c r="D502" s="377" t="s">
        <v>810</v>
      </c>
      <c r="E502" s="1430"/>
      <c r="F502" s="1327"/>
      <c r="G502" s="1629"/>
      <c r="H502" s="603"/>
      <c r="I502" s="600"/>
      <c r="J502" s="600">
        <v>5700</v>
      </c>
      <c r="K502" s="600"/>
      <c r="L502" s="613">
        <f t="shared" ref="L502" si="56">SUM(I502:K502)</f>
        <v>5700</v>
      </c>
      <c r="M502" s="1630"/>
    </row>
    <row r="503" spans="1:13" ht="18" customHeight="1" x14ac:dyDescent="0.3">
      <c r="A503" s="597">
        <v>494</v>
      </c>
      <c r="B503" s="633"/>
      <c r="C503" s="1293"/>
      <c r="D503" s="910" t="s">
        <v>652</v>
      </c>
      <c r="E503" s="1430"/>
      <c r="F503" s="1327"/>
      <c r="G503" s="1629"/>
      <c r="H503" s="603"/>
      <c r="I503" s="600"/>
      <c r="J503" s="1631"/>
      <c r="K503" s="600"/>
      <c r="L503" s="1214">
        <f t="shared" ref="L503:L504" si="57">SUM(I503:K503)</f>
        <v>0</v>
      </c>
      <c r="M503" s="1630"/>
    </row>
    <row r="504" spans="1:13" ht="18" customHeight="1" x14ac:dyDescent="0.3">
      <c r="A504" s="597">
        <v>495</v>
      </c>
      <c r="B504" s="633"/>
      <c r="C504" s="1293"/>
      <c r="D504" s="377" t="s">
        <v>858</v>
      </c>
      <c r="E504" s="1430"/>
      <c r="F504" s="1327"/>
      <c r="G504" s="1629"/>
      <c r="H504" s="603"/>
      <c r="I504" s="600"/>
      <c r="J504" s="600">
        <f>SUM(J502:J503)</f>
        <v>5700</v>
      </c>
      <c r="K504" s="600"/>
      <c r="L504" s="613">
        <f t="shared" si="57"/>
        <v>5700</v>
      </c>
      <c r="M504" s="1630"/>
    </row>
    <row r="505" spans="1:13" ht="18" customHeight="1" x14ac:dyDescent="0.3">
      <c r="A505" s="597">
        <v>496</v>
      </c>
      <c r="B505" s="633"/>
      <c r="C505" s="1293">
        <v>188</v>
      </c>
      <c r="D505" s="1627" t="s">
        <v>848</v>
      </c>
      <c r="E505" s="1430">
        <f>F505+G505+L508</f>
        <v>1800</v>
      </c>
      <c r="F505" s="1327"/>
      <c r="G505" s="1629"/>
      <c r="H505" s="603"/>
      <c r="I505" s="600"/>
      <c r="J505" s="600"/>
      <c r="K505" s="600"/>
      <c r="L505" s="634"/>
      <c r="M505" s="1630"/>
    </row>
    <row r="506" spans="1:13" ht="18" customHeight="1" x14ac:dyDescent="0.3">
      <c r="A506" s="597">
        <v>497</v>
      </c>
      <c r="B506" s="633"/>
      <c r="C506" s="1293"/>
      <c r="D506" s="377" t="s">
        <v>810</v>
      </c>
      <c r="E506" s="1430"/>
      <c r="F506" s="1327"/>
      <c r="G506" s="1629"/>
      <c r="H506" s="603"/>
      <c r="I506" s="600"/>
      <c r="J506" s="600">
        <v>1800</v>
      </c>
      <c r="K506" s="600"/>
      <c r="L506" s="613">
        <f t="shared" ref="L506" si="58">SUM(I506:K506)</f>
        <v>1800</v>
      </c>
      <c r="M506" s="1630"/>
    </row>
    <row r="507" spans="1:13" ht="18" customHeight="1" x14ac:dyDescent="0.3">
      <c r="A507" s="597">
        <v>498</v>
      </c>
      <c r="B507" s="633"/>
      <c r="C507" s="1293"/>
      <c r="D507" s="910" t="s">
        <v>652</v>
      </c>
      <c r="E507" s="1430"/>
      <c r="F507" s="1327"/>
      <c r="G507" s="1629"/>
      <c r="H507" s="603"/>
      <c r="I507" s="600"/>
      <c r="J507" s="1631"/>
      <c r="K507" s="600"/>
      <c r="L507" s="1214">
        <f t="shared" ref="L507:L508" si="59">SUM(I507:K507)</f>
        <v>0</v>
      </c>
      <c r="M507" s="1630"/>
    </row>
    <row r="508" spans="1:13" ht="18" customHeight="1" x14ac:dyDescent="0.3">
      <c r="A508" s="597">
        <v>499</v>
      </c>
      <c r="B508" s="633"/>
      <c r="C508" s="1293"/>
      <c r="D508" s="377" t="s">
        <v>858</v>
      </c>
      <c r="E508" s="1430"/>
      <c r="F508" s="1327"/>
      <c r="G508" s="1629"/>
      <c r="H508" s="603"/>
      <c r="I508" s="600"/>
      <c r="J508" s="600">
        <f>SUM(J506:J507)</f>
        <v>1800</v>
      </c>
      <c r="K508" s="600"/>
      <c r="L508" s="613">
        <f t="shared" si="59"/>
        <v>1800</v>
      </c>
      <c r="M508" s="1630"/>
    </row>
    <row r="509" spans="1:13" ht="33.75" customHeight="1" x14ac:dyDescent="0.3">
      <c r="A509" s="597">
        <v>500</v>
      </c>
      <c r="B509" s="633"/>
      <c r="C509" s="1293">
        <v>189</v>
      </c>
      <c r="D509" s="1627" t="s">
        <v>832</v>
      </c>
      <c r="E509" s="1430">
        <f>F509+G509+L512</f>
        <v>1500</v>
      </c>
      <c r="F509" s="1327"/>
      <c r="G509" s="1629"/>
      <c r="H509" s="603" t="s">
        <v>24</v>
      </c>
      <c r="I509" s="600"/>
      <c r="J509" s="600"/>
      <c r="K509" s="600"/>
      <c r="L509" s="634"/>
      <c r="M509" s="1630"/>
    </row>
    <row r="510" spans="1:13" ht="18" customHeight="1" x14ac:dyDescent="0.3">
      <c r="A510" s="597">
        <v>501</v>
      </c>
      <c r="B510" s="633"/>
      <c r="C510" s="1293"/>
      <c r="D510" s="377" t="s">
        <v>810</v>
      </c>
      <c r="E510" s="1430"/>
      <c r="F510" s="1327"/>
      <c r="G510" s="1629"/>
      <c r="H510" s="603"/>
      <c r="I510" s="600"/>
      <c r="J510" s="600"/>
      <c r="K510" s="600">
        <v>1500</v>
      </c>
      <c r="L510" s="613">
        <f t="shared" ref="L510" si="60">SUM(I510:K510)</f>
        <v>1500</v>
      </c>
      <c r="M510" s="1630"/>
    </row>
    <row r="511" spans="1:13" ht="18" customHeight="1" x14ac:dyDescent="0.3">
      <c r="A511" s="597">
        <v>502</v>
      </c>
      <c r="B511" s="633"/>
      <c r="C511" s="1293"/>
      <c r="D511" s="910" t="s">
        <v>652</v>
      </c>
      <c r="E511" s="1430"/>
      <c r="F511" s="1327"/>
      <c r="G511" s="1629"/>
      <c r="H511" s="603"/>
      <c r="I511" s="600"/>
      <c r="J511" s="1631"/>
      <c r="K511" s="1631"/>
      <c r="L511" s="1214">
        <f t="shared" ref="L511:L512" si="61">SUM(I511:K511)</f>
        <v>0</v>
      </c>
      <c r="M511" s="1630"/>
    </row>
    <row r="512" spans="1:13" ht="18" customHeight="1" x14ac:dyDescent="0.3">
      <c r="A512" s="597">
        <v>503</v>
      </c>
      <c r="B512" s="633"/>
      <c r="C512" s="1293"/>
      <c r="D512" s="377" t="s">
        <v>858</v>
      </c>
      <c r="E512" s="1430"/>
      <c r="F512" s="1327"/>
      <c r="G512" s="1629"/>
      <c r="H512" s="603"/>
      <c r="I512" s="600"/>
      <c r="J512" s="600"/>
      <c r="K512" s="600">
        <f>SUM(K510:K511)</f>
        <v>1500</v>
      </c>
      <c r="L512" s="613">
        <f t="shared" si="61"/>
        <v>1500</v>
      </c>
      <c r="M512" s="1630"/>
    </row>
    <row r="513" spans="1:13" ht="22.5" customHeight="1" x14ac:dyDescent="0.3">
      <c r="A513" s="597">
        <v>504</v>
      </c>
      <c r="B513" s="633"/>
      <c r="C513" s="1293">
        <v>190</v>
      </c>
      <c r="D513" s="1627" t="s">
        <v>896</v>
      </c>
      <c r="E513" s="609">
        <f>F513+G513+L515</f>
        <v>400</v>
      </c>
      <c r="F513" s="610"/>
      <c r="G513" s="1629"/>
      <c r="H513" s="603" t="s">
        <v>23</v>
      </c>
      <c r="I513" s="600"/>
      <c r="J513" s="600"/>
      <c r="K513" s="600"/>
      <c r="L513" s="634"/>
      <c r="M513" s="1630"/>
    </row>
    <row r="514" spans="1:13" ht="18" customHeight="1" x14ac:dyDescent="0.3">
      <c r="A514" s="597">
        <v>505</v>
      </c>
      <c r="B514" s="633"/>
      <c r="C514" s="1293"/>
      <c r="D514" s="910" t="s">
        <v>897</v>
      </c>
      <c r="E514" s="609"/>
      <c r="F514" s="610"/>
      <c r="G514" s="1629"/>
      <c r="H514" s="603"/>
      <c r="I514" s="600"/>
      <c r="J514" s="1631">
        <v>400</v>
      </c>
      <c r="K514" s="600"/>
      <c r="L514" s="613">
        <f t="shared" ref="L514:L536" si="62">SUM(I514:K514)</f>
        <v>400</v>
      </c>
      <c r="M514" s="1630"/>
    </row>
    <row r="515" spans="1:13" ht="18" customHeight="1" x14ac:dyDescent="0.3">
      <c r="A515" s="597">
        <v>506</v>
      </c>
      <c r="B515" s="633"/>
      <c r="C515" s="1293"/>
      <c r="D515" s="1146" t="s">
        <v>858</v>
      </c>
      <c r="E515" s="609"/>
      <c r="F515" s="610"/>
      <c r="G515" s="1629"/>
      <c r="H515" s="603"/>
      <c r="I515" s="600"/>
      <c r="J515" s="600">
        <f>SUM(J514)</f>
        <v>400</v>
      </c>
      <c r="K515" s="600"/>
      <c r="L515" s="613">
        <f t="shared" si="62"/>
        <v>400</v>
      </c>
      <c r="M515" s="1630"/>
    </row>
    <row r="516" spans="1:13" ht="22.5" customHeight="1" x14ac:dyDescent="0.3">
      <c r="A516" s="597">
        <v>507</v>
      </c>
      <c r="B516" s="633"/>
      <c r="C516" s="1293">
        <v>191</v>
      </c>
      <c r="D516" s="1627" t="s">
        <v>960</v>
      </c>
      <c r="E516" s="609">
        <f>F516+G516+L518</f>
        <v>5000</v>
      </c>
      <c r="F516" s="1327"/>
      <c r="G516" s="1629"/>
      <c r="H516" s="603" t="s">
        <v>23</v>
      </c>
      <c r="I516" s="600"/>
      <c r="J516" s="600"/>
      <c r="K516" s="600"/>
      <c r="L516" s="634"/>
      <c r="M516" s="1630"/>
    </row>
    <row r="517" spans="1:13" ht="18" customHeight="1" x14ac:dyDescent="0.3">
      <c r="A517" s="597">
        <v>508</v>
      </c>
      <c r="B517" s="633"/>
      <c r="C517" s="1293"/>
      <c r="D517" s="910" t="s">
        <v>897</v>
      </c>
      <c r="E517" s="609"/>
      <c r="F517" s="1327"/>
      <c r="G517" s="1629"/>
      <c r="H517" s="603"/>
      <c r="I517" s="600"/>
      <c r="J517" s="1631">
        <v>5000</v>
      </c>
      <c r="K517" s="600"/>
      <c r="L517" s="613">
        <f t="shared" si="62"/>
        <v>5000</v>
      </c>
      <c r="M517" s="1630"/>
    </row>
    <row r="518" spans="1:13" ht="18" customHeight="1" x14ac:dyDescent="0.3">
      <c r="A518" s="597">
        <v>509</v>
      </c>
      <c r="B518" s="633"/>
      <c r="C518" s="1293"/>
      <c r="D518" s="1146" t="s">
        <v>858</v>
      </c>
      <c r="E518" s="609"/>
      <c r="F518" s="1327"/>
      <c r="G518" s="1629"/>
      <c r="H518" s="603"/>
      <c r="I518" s="600"/>
      <c r="J518" s="600">
        <f>SUM(J517)</f>
        <v>5000</v>
      </c>
      <c r="K518" s="600"/>
      <c r="L518" s="613">
        <f t="shared" si="62"/>
        <v>5000</v>
      </c>
      <c r="M518" s="1630"/>
    </row>
    <row r="519" spans="1:13" ht="22.5" customHeight="1" x14ac:dyDescent="0.3">
      <c r="A519" s="597">
        <v>510</v>
      </c>
      <c r="B519" s="633"/>
      <c r="C519" s="1293">
        <v>192</v>
      </c>
      <c r="D519" s="1627" t="s">
        <v>994</v>
      </c>
      <c r="E519" s="609">
        <f>F519+G519+L521</f>
        <v>4700</v>
      </c>
      <c r="F519" s="1327"/>
      <c r="G519" s="1629"/>
      <c r="H519" s="603" t="s">
        <v>23</v>
      </c>
      <c r="I519" s="600"/>
      <c r="J519" s="600"/>
      <c r="K519" s="600"/>
      <c r="L519" s="634"/>
      <c r="M519" s="1630"/>
    </row>
    <row r="520" spans="1:13" ht="18" customHeight="1" x14ac:dyDescent="0.3">
      <c r="A520" s="597">
        <v>511</v>
      </c>
      <c r="B520" s="633"/>
      <c r="C520" s="1293"/>
      <c r="D520" s="910" t="s">
        <v>897</v>
      </c>
      <c r="E520" s="609"/>
      <c r="F520" s="1327"/>
      <c r="G520" s="1629"/>
      <c r="H520" s="603"/>
      <c r="I520" s="600"/>
      <c r="J520" s="1631">
        <v>4700</v>
      </c>
      <c r="K520" s="600"/>
      <c r="L520" s="613">
        <f t="shared" si="62"/>
        <v>4700</v>
      </c>
      <c r="M520" s="1630"/>
    </row>
    <row r="521" spans="1:13" ht="18" customHeight="1" x14ac:dyDescent="0.3">
      <c r="A521" s="597">
        <v>512</v>
      </c>
      <c r="B521" s="633"/>
      <c r="C521" s="1293"/>
      <c r="D521" s="1146" t="s">
        <v>858</v>
      </c>
      <c r="E521" s="609"/>
      <c r="F521" s="1327"/>
      <c r="G521" s="1629"/>
      <c r="H521" s="603"/>
      <c r="I521" s="600"/>
      <c r="J521" s="600">
        <f>SUM(J520)</f>
        <v>4700</v>
      </c>
      <c r="K521" s="600"/>
      <c r="L521" s="613">
        <f t="shared" si="62"/>
        <v>4700</v>
      </c>
      <c r="M521" s="1630"/>
    </row>
    <row r="522" spans="1:13" ht="36" customHeight="1" x14ac:dyDescent="0.3">
      <c r="A522" s="597">
        <v>513</v>
      </c>
      <c r="B522" s="633"/>
      <c r="C522" s="1293">
        <v>193</v>
      </c>
      <c r="D522" s="1627" t="s">
        <v>995</v>
      </c>
      <c r="E522" s="609">
        <f>F522+G522+L524</f>
        <v>4000</v>
      </c>
      <c r="F522" s="1327"/>
      <c r="G522" s="1629"/>
      <c r="H522" s="603" t="s">
        <v>23</v>
      </c>
      <c r="I522" s="600"/>
      <c r="J522" s="600"/>
      <c r="K522" s="600"/>
      <c r="L522" s="634"/>
      <c r="M522" s="1630"/>
    </row>
    <row r="523" spans="1:13" ht="18" customHeight="1" x14ac:dyDescent="0.3">
      <c r="A523" s="597">
        <v>514</v>
      </c>
      <c r="B523" s="633"/>
      <c r="C523" s="1293"/>
      <c r="D523" s="910" t="s">
        <v>897</v>
      </c>
      <c r="E523" s="609"/>
      <c r="F523" s="1327"/>
      <c r="G523" s="1629"/>
      <c r="H523" s="603"/>
      <c r="I523" s="600"/>
      <c r="J523" s="1631">
        <v>4000</v>
      </c>
      <c r="K523" s="600"/>
      <c r="L523" s="613">
        <f t="shared" si="62"/>
        <v>4000</v>
      </c>
      <c r="M523" s="1630"/>
    </row>
    <row r="524" spans="1:13" ht="18" customHeight="1" x14ac:dyDescent="0.3">
      <c r="A524" s="597">
        <v>515</v>
      </c>
      <c r="B524" s="633"/>
      <c r="C524" s="1293"/>
      <c r="D524" s="1146" t="s">
        <v>858</v>
      </c>
      <c r="E524" s="609"/>
      <c r="F524" s="1327"/>
      <c r="G524" s="1629"/>
      <c r="H524" s="603"/>
      <c r="I524" s="600"/>
      <c r="J524" s="600">
        <f>SUM(J523)</f>
        <v>4000</v>
      </c>
      <c r="K524" s="600"/>
      <c r="L524" s="613">
        <f t="shared" si="62"/>
        <v>4000</v>
      </c>
      <c r="M524" s="1630"/>
    </row>
    <row r="525" spans="1:13" ht="36" customHeight="1" x14ac:dyDescent="0.3">
      <c r="A525" s="597">
        <v>516</v>
      </c>
      <c r="B525" s="633"/>
      <c r="C525" s="1293">
        <v>194</v>
      </c>
      <c r="D525" s="1627" t="s">
        <v>1127</v>
      </c>
      <c r="E525" s="609">
        <f>F525+G525+L527</f>
        <v>7700</v>
      </c>
      <c r="F525" s="1327"/>
      <c r="G525" s="1629"/>
      <c r="H525" s="603" t="s">
        <v>24</v>
      </c>
      <c r="I525" s="600"/>
      <c r="J525" s="600"/>
      <c r="K525" s="600"/>
      <c r="L525" s="634"/>
      <c r="M525" s="1630"/>
    </row>
    <row r="526" spans="1:13" ht="18" customHeight="1" x14ac:dyDescent="0.3">
      <c r="A526" s="597">
        <v>517</v>
      </c>
      <c r="B526" s="633"/>
      <c r="C526" s="1293"/>
      <c r="D526" s="910" t="s">
        <v>897</v>
      </c>
      <c r="E526" s="609"/>
      <c r="F526" s="1327"/>
      <c r="G526" s="1629"/>
      <c r="H526" s="603"/>
      <c r="I526" s="600"/>
      <c r="J526" s="1631">
        <v>7700</v>
      </c>
      <c r="K526" s="600"/>
      <c r="L526" s="613">
        <f t="shared" si="62"/>
        <v>7700</v>
      </c>
      <c r="M526" s="1630"/>
    </row>
    <row r="527" spans="1:13" ht="18" customHeight="1" x14ac:dyDescent="0.3">
      <c r="A527" s="597">
        <v>518</v>
      </c>
      <c r="B527" s="633"/>
      <c r="C527" s="1293"/>
      <c r="D527" s="1146" t="s">
        <v>858</v>
      </c>
      <c r="E527" s="609"/>
      <c r="F527" s="1327"/>
      <c r="G527" s="1629"/>
      <c r="H527" s="603"/>
      <c r="I527" s="600"/>
      <c r="J527" s="600">
        <f>SUM(J526)</f>
        <v>7700</v>
      </c>
      <c r="K527" s="600"/>
      <c r="L527" s="613">
        <f t="shared" si="62"/>
        <v>7700</v>
      </c>
      <c r="M527" s="1630"/>
    </row>
    <row r="528" spans="1:13" ht="22.5" customHeight="1" x14ac:dyDescent="0.3">
      <c r="A528" s="597">
        <v>519</v>
      </c>
      <c r="B528" s="633"/>
      <c r="C528" s="1293">
        <v>195</v>
      </c>
      <c r="D528" s="1627" t="s">
        <v>996</v>
      </c>
      <c r="E528" s="609">
        <f>F528+G528+L530</f>
        <v>4600</v>
      </c>
      <c r="F528" s="1327"/>
      <c r="G528" s="1629"/>
      <c r="H528" s="603" t="s">
        <v>24</v>
      </c>
      <c r="I528" s="600"/>
      <c r="J528" s="600"/>
      <c r="K528" s="600"/>
      <c r="L528" s="634"/>
      <c r="M528" s="1630"/>
    </row>
    <row r="529" spans="1:13" ht="18" customHeight="1" x14ac:dyDescent="0.3">
      <c r="A529" s="597">
        <v>520</v>
      </c>
      <c r="B529" s="633"/>
      <c r="C529" s="1293"/>
      <c r="D529" s="910" t="s">
        <v>897</v>
      </c>
      <c r="E529" s="609"/>
      <c r="F529" s="1327"/>
      <c r="G529" s="1629"/>
      <c r="H529" s="603"/>
      <c r="I529" s="600"/>
      <c r="J529" s="1631">
        <v>4600</v>
      </c>
      <c r="K529" s="600"/>
      <c r="L529" s="613">
        <f t="shared" si="62"/>
        <v>4600</v>
      </c>
      <c r="M529" s="1630"/>
    </row>
    <row r="530" spans="1:13" ht="18" customHeight="1" x14ac:dyDescent="0.3">
      <c r="A530" s="597">
        <v>521</v>
      </c>
      <c r="B530" s="633"/>
      <c r="C530" s="1293"/>
      <c r="D530" s="1146" t="s">
        <v>858</v>
      </c>
      <c r="E530" s="609"/>
      <c r="F530" s="1327"/>
      <c r="G530" s="1629"/>
      <c r="H530" s="603"/>
      <c r="I530" s="600"/>
      <c r="J530" s="600">
        <f>SUM(J529)</f>
        <v>4600</v>
      </c>
      <c r="K530" s="600"/>
      <c r="L530" s="613">
        <f t="shared" si="62"/>
        <v>4600</v>
      </c>
      <c r="M530" s="1630"/>
    </row>
    <row r="531" spans="1:13" ht="33" customHeight="1" x14ac:dyDescent="0.3">
      <c r="A531" s="597">
        <v>522</v>
      </c>
      <c r="B531" s="633"/>
      <c r="C531" s="1293">
        <v>196</v>
      </c>
      <c r="D531" s="1627" t="s">
        <v>1142</v>
      </c>
      <c r="E531" s="609">
        <f>F531+G531+L533</f>
        <v>3875</v>
      </c>
      <c r="F531" s="1327"/>
      <c r="G531" s="1629"/>
      <c r="H531" s="603" t="s">
        <v>24</v>
      </c>
      <c r="I531" s="600"/>
      <c r="J531" s="600"/>
      <c r="K531" s="600"/>
      <c r="L531" s="634"/>
      <c r="M531" s="1630"/>
    </row>
    <row r="532" spans="1:13" ht="18" customHeight="1" x14ac:dyDescent="0.3">
      <c r="A532" s="597">
        <v>523</v>
      </c>
      <c r="B532" s="633"/>
      <c r="C532" s="1293"/>
      <c r="D532" s="910" t="s">
        <v>897</v>
      </c>
      <c r="E532" s="609"/>
      <c r="F532" s="1327"/>
      <c r="G532" s="1629"/>
      <c r="H532" s="603"/>
      <c r="I532" s="600"/>
      <c r="J532" s="1631">
        <f>1175+2700</f>
        <v>3875</v>
      </c>
      <c r="K532" s="600"/>
      <c r="L532" s="613">
        <f>SUM(I532:K532)</f>
        <v>3875</v>
      </c>
      <c r="M532" s="1630"/>
    </row>
    <row r="533" spans="1:13" ht="18" customHeight="1" x14ac:dyDescent="0.3">
      <c r="A533" s="597">
        <v>524</v>
      </c>
      <c r="B533" s="633"/>
      <c r="C533" s="1293"/>
      <c r="D533" s="1146" t="s">
        <v>858</v>
      </c>
      <c r="E533" s="609"/>
      <c r="F533" s="1327"/>
      <c r="G533" s="1629"/>
      <c r="H533" s="603"/>
      <c r="I533" s="600"/>
      <c r="J533" s="600">
        <f>SUM(J532)</f>
        <v>3875</v>
      </c>
      <c r="K533" s="600"/>
      <c r="L533" s="613">
        <f t="shared" si="62"/>
        <v>3875</v>
      </c>
      <c r="M533" s="1630"/>
    </row>
    <row r="534" spans="1:13" ht="22.5" customHeight="1" x14ac:dyDescent="0.3">
      <c r="A534" s="597">
        <v>525</v>
      </c>
      <c r="B534" s="633"/>
      <c r="C534" s="1293">
        <v>197</v>
      </c>
      <c r="D534" s="1627" t="s">
        <v>1104</v>
      </c>
      <c r="E534" s="609">
        <f>F534+G534+L536</f>
        <v>222000</v>
      </c>
      <c r="F534" s="1327"/>
      <c r="G534" s="1629"/>
      <c r="H534" s="603" t="s">
        <v>24</v>
      </c>
      <c r="I534" s="600"/>
      <c r="J534" s="600"/>
      <c r="K534" s="600"/>
      <c r="L534" s="634"/>
      <c r="M534" s="1630"/>
    </row>
    <row r="535" spans="1:13" ht="18" customHeight="1" x14ac:dyDescent="0.3">
      <c r="A535" s="597">
        <v>526</v>
      </c>
      <c r="B535" s="633"/>
      <c r="C535" s="1293"/>
      <c r="D535" s="910" t="s">
        <v>897</v>
      </c>
      <c r="E535" s="609"/>
      <c r="F535" s="1327"/>
      <c r="G535" s="1629"/>
      <c r="H535" s="603"/>
      <c r="I535" s="600"/>
      <c r="J535" s="1631">
        <v>222000</v>
      </c>
      <c r="K535" s="600"/>
      <c r="L535" s="613">
        <f t="shared" si="62"/>
        <v>222000</v>
      </c>
      <c r="M535" s="1630"/>
    </row>
    <row r="536" spans="1:13" ht="18" customHeight="1" thickBot="1" x14ac:dyDescent="0.35">
      <c r="A536" s="597">
        <v>527</v>
      </c>
      <c r="B536" s="633"/>
      <c r="C536" s="1293"/>
      <c r="D536" s="1146" t="s">
        <v>858</v>
      </c>
      <c r="E536" s="609"/>
      <c r="F536" s="1327"/>
      <c r="G536" s="1629"/>
      <c r="H536" s="603"/>
      <c r="I536" s="600"/>
      <c r="J536" s="600">
        <f>SUM(J535)</f>
        <v>222000</v>
      </c>
      <c r="K536" s="600"/>
      <c r="L536" s="613">
        <f t="shared" si="62"/>
        <v>222000</v>
      </c>
      <c r="M536" s="1630"/>
    </row>
    <row r="537" spans="1:13" ht="27" customHeight="1" thickTop="1" x14ac:dyDescent="0.3">
      <c r="A537" s="597">
        <v>528</v>
      </c>
      <c r="B537" s="659"/>
      <c r="C537" s="660"/>
      <c r="D537" s="1981" t="s">
        <v>13</v>
      </c>
      <c r="E537" s="1981"/>
      <c r="F537" s="1981"/>
      <c r="G537" s="1982"/>
      <c r="H537" s="661"/>
      <c r="I537" s="1637"/>
      <c r="J537" s="1637"/>
      <c r="K537" s="1637"/>
      <c r="L537" s="662"/>
      <c r="M537" s="1638"/>
    </row>
    <row r="538" spans="1:13" ht="20.100000000000001" customHeight="1" x14ac:dyDescent="0.3">
      <c r="A538" s="597">
        <v>529</v>
      </c>
      <c r="B538" s="1639"/>
      <c r="C538" s="1640"/>
      <c r="D538" s="1165" t="s">
        <v>245</v>
      </c>
      <c r="E538" s="1641"/>
      <c r="F538" s="1641"/>
      <c r="G538" s="1642"/>
      <c r="H538" s="1211"/>
      <c r="I538" s="1643">
        <f>I447+I442+I437+I432+I427+I422+I417+I412+I407+I402+I397+I392+I387+I382+I377+I372+I367+I362+I357+I352+I347+I342+I337+I332+I327+I318+I313+I308+I303+I298+I293+I288+I283+I278+I273+I268+I263+I258+I253+I248+I243+I238+I233+I228+I223+I218+I213+I208+I203+I198+I193+I188+I183+I178+I173+I168+I163+I158+I150+I66+I60+I55+I47+I42+I27+I22+I17+I12</f>
        <v>42784</v>
      </c>
      <c r="J538" s="1643">
        <f>J447+J442+J437+J432+J427+J422+J417+J412+J407+J402+J397+J392+J387+J382+J377+J372+J367+J362+J357+J352+J347+J342+J337+J332+J327+J318+J313+J308+J303+J298+J293+J288+J283+J278+J273+J268+J263+J258+J253+J248+J243+J238+J233+J228+J223+J218+J213+J208+J203+J198+J193+J188+J183+J178+J173+J168+J163+J158+J150+J66+J60+J55+J47+J42+J27+J22+J17+J12</f>
        <v>1765434</v>
      </c>
      <c r="K538" s="1643">
        <f>K447+K442+K437+K432+K427+K422+K417+K412+K407+K402+K397+K392+K387+K382+K377+K372+K367+K362+K357+K352+K347+K342+K337+K332+K327+K318+K313+K308+K303+K298+K293+K288+K283+K278+K273+K268+K263+K258+K253+K248+K243+K238+K233+K228+K223+K218+K213+K208+K203+K198+K193+K188+K183+K178+K173+K168+K163+K158+K150+K66+K60+K55+K47+K42+K27+K22+K17+K12</f>
        <v>358394</v>
      </c>
      <c r="L538" s="1643">
        <f>SUM(I538:K538)</f>
        <v>2166612</v>
      </c>
      <c r="M538" s="1221">
        <f>SUM(M12:M537)</f>
        <v>2863998</v>
      </c>
    </row>
    <row r="539" spans="1:13" ht="20.100000000000001" customHeight="1" x14ac:dyDescent="0.3">
      <c r="A539" s="597">
        <v>530</v>
      </c>
      <c r="B539" s="1639"/>
      <c r="C539" s="1640"/>
      <c r="D539" s="377" t="s">
        <v>810</v>
      </c>
      <c r="E539" s="1641"/>
      <c r="F539" s="1641"/>
      <c r="G539" s="1642"/>
      <c r="H539" s="665"/>
      <c r="I539" s="666">
        <f>I448+I443+I438+I433+I428+I423+I418+I413+I408+I403+I398+I393+I388+I383+I378+I373+I368+I363+I358+I353+I348+I343+I338+I333+I328+I319+I314+I309+I304+I299+I294+I289+I284+I279+I274+I269+I264+I259+I254+I249+I244+I239+I234+I229+I224+I219+I214+I209+I204+I199+I194+I189+I184+I179+I174+I169+I159+I151+I67+I61+I56+I48+I43+I28+I23+I18+I13+I472+I468+I464+I460+I456+I452+I323+I38+I34+I164+I476+I480+I484+I488+I492+I497+I502+I506+I510</f>
        <v>56161</v>
      </c>
      <c r="J539" s="666">
        <f>J448+J443+J438+J433+J428+J423+J418+J413+J408+J403+J398+J393+J388+J383+J378+J373+J368+J363+J358+J353+J348+J343+J338+J333+J328+J319+J314+J309+J304+J299+J294+J289+J284+J279+J274+J269+J264+J259+J254+J249+J244+J239+J234+J229+J224+J219+J214+J209+J204+J199+J194+J189+J184+J179+J174+J169+J159+J151+J67+J61+J56+J48+J43+J28+J23+J18+J13+J472+J468+J464+J460+J456+J452+J323+J38+J34+J164+J476+J480+J484+J488+J492+J497+J502+J506+J510</f>
        <v>2056151</v>
      </c>
      <c r="K539" s="666">
        <f>K448+K443+K438+K433+K428+K423+K418+K413+K408+K403+K398+K393+K388+K383+K378+K373+K368+K363+K358+K353+K348+K343+K338+K333+K328+K319+K314+K309+K304+K299+K294+K289+K284+K279+K274+K269+K264+K259+K254+K249+K244+K239+K234+K229+K224+K219+K214+K209+K204+K199+K194+K189+K184+K179+K174+K169+K159+K151+K67+K61+K56+K48+K43+K28+K23+K18+K13+K472+K468+K464+K460+K456+K452+K323+K38+K34+K164+K476+K480+K484+K488+K492+K497+K502+K506+K510</f>
        <v>406404</v>
      </c>
      <c r="L539" s="669">
        <f>SUM(I539:K539)</f>
        <v>2518716</v>
      </c>
      <c r="M539" s="667"/>
    </row>
    <row r="540" spans="1:13" ht="20.100000000000001" customHeight="1" x14ac:dyDescent="0.3">
      <c r="A540" s="597">
        <v>531</v>
      </c>
      <c r="B540" s="1644"/>
      <c r="C540" s="664"/>
      <c r="D540" s="910" t="s">
        <v>652</v>
      </c>
      <c r="E540" s="1645"/>
      <c r="F540" s="1645"/>
      <c r="G540" s="1646"/>
      <c r="H540" s="665"/>
      <c r="I540" s="1647">
        <f>I449+I444+I439+I434+I429+I424+I419+I414+I409+I404+I399+I394+I389+I384+I379+I374+I369+I364+I359+I354+I349+I344+I339+I334+I329+I320+I315+I310+I305+I300+I295+I290+I285+I280+I275+I270+I265+I260+I255+I250+I245+I240+I235+I230+I225+I220+I215+I210+I205+I200+I195+I190+I185+I180+I175+I170+I165+I160+I152+I68+I62+I57+I49+I44+I29+I24+I19+I14+I453+I457+I461+I324+I469+I465+I473+I39+I35+I477+I481+I485+I489+I511+I498+I503+I507+I50+I493+I514+I155+I517+I532+I529+I526+I523+I520+I535</f>
        <v>2298</v>
      </c>
      <c r="J540" s="1647">
        <f>J449+J444+J439+J434+J429+J424+J419+J414+J409+J404+J399+J394+J389+J384+J379+J374+J369+J364+J359+J354+J349+J344+J339+J334+J329+J320+J315+J310+J305+J300+J295+J290+J285+J280+J275+J270+J265+J260+J255+J250+J245+J240+J235+J230+J225+J220+J215+J210+J205+J200+J195+J190+J185+J180+J175+J170+J165+J160+J152+J68+J62+J57+J49+J44+J29+J24+J19+J14+J453+J457+J461+J324+J469+J465+J473+J39+J35+J477+J481+J485+J489+J511+J498+J503+J507+J50+J493+J514+J155+J517+J532+J529+J526+J523+J520+J535</f>
        <v>253799</v>
      </c>
      <c r="K540" s="1647">
        <f>K449+K444+K439+K434+K429+K424+K419+K414+K409+K404+K399+K394+K389+K384+K379+K374+K369+K364+K359+K354+K349+K344+K339+K334+K329+K320+K315+K310+K305+K300+K295+K290+K285+K280+K275+K270+K265+K260+K255+K250+K245+K240+K235+K230+K225+K220+K215+K210+K205+K200+K195+K190+K185+K180+K175+K170+K165+K160+K152+K68+K62+K57+K49+K44+K29+K24+K19+K14+K453+K457+K461+K324+K469+K465+K473+K39+K35+K477+K481+K485+K489+K511+K498+K503+K507+K50+K493+K514+K155+K517+K532+K529+K526+K523+K520+K535</f>
        <v>0</v>
      </c>
      <c r="L540" s="1648">
        <f>SUM(I540:K540)</f>
        <v>256097</v>
      </c>
      <c r="M540" s="667"/>
    </row>
    <row r="541" spans="1:13" ht="20.100000000000001" customHeight="1" thickBot="1" x14ac:dyDescent="0.35">
      <c r="A541" s="597">
        <v>532</v>
      </c>
      <c r="B541" s="1639"/>
      <c r="C541" s="1640"/>
      <c r="D541" s="1649" t="s">
        <v>858</v>
      </c>
      <c r="E541" s="1650"/>
      <c r="F541" s="1650"/>
      <c r="G541" s="1651"/>
      <c r="H541" s="1211"/>
      <c r="I541" s="1643">
        <f>SUM(I539:I540)</f>
        <v>58459</v>
      </c>
      <c r="J541" s="1643">
        <f t="shared" ref="J541:K541" si="63">SUM(J539:J540)</f>
        <v>2309950</v>
      </c>
      <c r="K541" s="1643">
        <f t="shared" si="63"/>
        <v>406404</v>
      </c>
      <c r="L541" s="1652">
        <f t="shared" ref="L541" si="64">SUM(I541:K541)</f>
        <v>2774813</v>
      </c>
      <c r="M541" s="1653"/>
    </row>
    <row r="542" spans="1:13" ht="20.100000000000001" customHeight="1" thickTop="1" x14ac:dyDescent="0.3">
      <c r="A542" s="597">
        <v>533</v>
      </c>
      <c r="B542" s="1654"/>
      <c r="C542" s="660"/>
      <c r="D542" s="1978" t="s">
        <v>92</v>
      </c>
      <c r="E542" s="1979"/>
      <c r="F542" s="1979"/>
      <c r="G542" s="1980"/>
      <c r="H542" s="1655"/>
      <c r="I542" s="1656"/>
      <c r="J542" s="1656"/>
      <c r="K542" s="1656"/>
      <c r="L542" s="1657"/>
      <c r="M542" s="1658"/>
    </row>
    <row r="543" spans="1:13" ht="20.100000000000001" customHeight="1" x14ac:dyDescent="0.3">
      <c r="A543" s="597">
        <v>534</v>
      </c>
      <c r="B543" s="663"/>
      <c r="C543" s="664"/>
      <c r="D543" s="1148" t="s">
        <v>245</v>
      </c>
      <c r="E543" s="1193"/>
      <c r="F543" s="1193"/>
      <c r="G543" s="1191"/>
      <c r="H543" s="665"/>
      <c r="I543" s="609">
        <f>I442+I417+I407+I273+I268+I163+I158+I27+I22+I17+I12+I422</f>
        <v>0</v>
      </c>
      <c r="J543" s="624">
        <f>J442+J417+J407+J273+J268+J163+J158+J27+J22+J17+J12+J422</f>
        <v>395676</v>
      </c>
      <c r="K543" s="624">
        <f>K442+K417+K407+K273+K268+K163+K158+K27+K22+K17+K12+K422</f>
        <v>354544</v>
      </c>
      <c r="L543" s="669">
        <f>SUM(I543:K543)</f>
        <v>750220</v>
      </c>
      <c r="M543" s="667"/>
    </row>
    <row r="544" spans="1:13" ht="20.100000000000001" customHeight="1" x14ac:dyDescent="0.3">
      <c r="A544" s="597">
        <v>535</v>
      </c>
      <c r="B544" s="663"/>
      <c r="C544" s="664"/>
      <c r="D544" s="377" t="s">
        <v>810</v>
      </c>
      <c r="E544" s="1193"/>
      <c r="F544" s="1193"/>
      <c r="G544" s="1191"/>
      <c r="H544" s="665"/>
      <c r="I544" s="609">
        <f>I472+I460+I443+I423+I418+I408+I274+I269+I164+I159+I28+I23+I18+I13+I476+I492+I497+I502+I506</f>
        <v>0</v>
      </c>
      <c r="J544" s="609">
        <f>J472+J460+J443+J423+J418+J408+J274+J269+J164+J159+J28+J23+J18+J13+J476+J492+J497+J502+J506-1174</f>
        <v>434218</v>
      </c>
      <c r="K544" s="609">
        <f>K472+K460+K443+K423+K418+K408+K274+K269+K164+K159+K28+K23+K18+K13+K476+K492+K497+K502+K506</f>
        <v>391304</v>
      </c>
      <c r="L544" s="669">
        <f>SUM(I544:K544)</f>
        <v>825522</v>
      </c>
      <c r="M544" s="667"/>
    </row>
    <row r="545" spans="1:13" ht="20.100000000000001" customHeight="1" x14ac:dyDescent="0.3">
      <c r="A545" s="597">
        <v>536</v>
      </c>
      <c r="B545" s="663"/>
      <c r="C545" s="664"/>
      <c r="D545" s="910" t="s">
        <v>652</v>
      </c>
      <c r="E545" s="1183"/>
      <c r="F545" s="1183"/>
      <c r="G545" s="1120"/>
      <c r="H545" s="665"/>
      <c r="I545" s="1612">
        <f>I444+I419+I409+I275+I270+I165+I160+I29+I24+I19+I14+I424+I469+I465+I473+I477+I498+I503+I507+I493+I514+I155+I517+I523+I520</f>
        <v>0</v>
      </c>
      <c r="J545" s="1612">
        <f t="shared" ref="J545:K545" si="65">J444+J419+J409+J275+J270+J165+J160+J29+J24+J19+J14+J424+J469+J465+J473+J477+J498+J503+J507+J493+J514+J155+J517+J523+J520</f>
        <v>21100</v>
      </c>
      <c r="K545" s="1612">
        <f t="shared" si="65"/>
        <v>0</v>
      </c>
      <c r="L545" s="1648">
        <f t="shared" ref="L545:L546" si="66">SUM(I545:K545)</f>
        <v>21100</v>
      </c>
      <c r="M545" s="667"/>
    </row>
    <row r="546" spans="1:13" ht="20.100000000000001" customHeight="1" x14ac:dyDescent="0.3">
      <c r="A546" s="597">
        <v>537</v>
      </c>
      <c r="B546" s="663"/>
      <c r="C546" s="664"/>
      <c r="D546" s="1146" t="s">
        <v>858</v>
      </c>
      <c r="E546" s="1183"/>
      <c r="F546" s="1183"/>
      <c r="G546" s="1120"/>
      <c r="H546" s="665"/>
      <c r="I546" s="609">
        <f>SUM(I544:I545)</f>
        <v>0</v>
      </c>
      <c r="J546" s="609">
        <f t="shared" ref="J546:K546" si="67">SUM(J544:J545)</f>
        <v>455318</v>
      </c>
      <c r="K546" s="609">
        <f t="shared" si="67"/>
        <v>391304</v>
      </c>
      <c r="L546" s="669">
        <f t="shared" si="66"/>
        <v>846622</v>
      </c>
      <c r="M546" s="667"/>
    </row>
    <row r="547" spans="1:13" ht="20.100000000000001" customHeight="1" x14ac:dyDescent="0.3">
      <c r="A547" s="597">
        <v>538</v>
      </c>
      <c r="B547" s="663"/>
      <c r="C547" s="664"/>
      <c r="D547" s="1231" t="s">
        <v>93</v>
      </c>
      <c r="E547" s="1193"/>
      <c r="F547" s="1193"/>
      <c r="G547" s="1187"/>
      <c r="H547" s="665"/>
      <c r="I547" s="666"/>
      <c r="J547" s="666"/>
      <c r="K547" s="666"/>
      <c r="L547" s="671"/>
      <c r="M547" s="667"/>
    </row>
    <row r="548" spans="1:13" ht="20.100000000000001" customHeight="1" x14ac:dyDescent="0.3">
      <c r="A548" s="597">
        <v>539</v>
      </c>
      <c r="B548" s="663"/>
      <c r="C548" s="664"/>
      <c r="D548" s="828" t="s">
        <v>245</v>
      </c>
      <c r="E548" s="1193"/>
      <c r="F548" s="1193"/>
      <c r="G548" s="1659"/>
      <c r="H548" s="1236"/>
      <c r="I548" s="612">
        <f>I447+I432+I427+I412+I402+I397+I392+I387+I382+I377+I372+I367+I362+I357+I352+I347+I342+I337+I332+I327+I318+I313+I308+I303+I298+I293+I288+I283+I278+I263+I258+I253+I248+I243+I238+I233+I228+I223+I218+I213+I203+I198+I193+I188+I183+I178+I173+I168+I150+I66+I60+I55+I47+I42+I208+I437</f>
        <v>42784</v>
      </c>
      <c r="J548" s="612">
        <f>J447+J432+J427+J412+J402+J397+J392+J387+J382+J377+J372+J367+J362+J357+J352+J347+J342+J337+J332+J327+J318+J313+J308+J303+J298+J293+J288+J283+J278+J263+J258+J253+J248+J243+J238+J233+J228+J223+J218+J213+J203+J198+J193+J188+J183+J178+J173+J168+J150+J66+J60+J55+J47+J42+J208+J437</f>
        <v>1369758</v>
      </c>
      <c r="K548" s="612">
        <f>K447+K432+K427+K412+K402+K397+K392+K387+K382+K377+K372+K367+K362+K357+K352+K347+K342+K337+K332+K327+K318+K313+K308+K303+K298+K293+K288+K283+K278+K263+K258+K253+K248+K243+K238+K233+K228+K223+K218+K213+K203+K198+K193+K188+K183+K178+K173+K168+K150+K66+K60+K55+K47+K42+K208+K437</f>
        <v>3850</v>
      </c>
      <c r="L548" s="669">
        <f>SUM(I548:K548)</f>
        <v>1416392</v>
      </c>
      <c r="M548" s="667"/>
    </row>
    <row r="549" spans="1:13" ht="20.100000000000001" customHeight="1" x14ac:dyDescent="0.3">
      <c r="A549" s="597">
        <v>540</v>
      </c>
      <c r="B549" s="663"/>
      <c r="C549" s="664"/>
      <c r="D549" s="377" t="s">
        <v>810</v>
      </c>
      <c r="E549" s="1193"/>
      <c r="F549" s="1193"/>
      <c r="G549" s="1659"/>
      <c r="H549" s="1236"/>
      <c r="I549" s="612">
        <f>I448+I433+I428+I413+I403+I398+I393+I388+I383+I378+I373+I368+I363+I358+I353+I348+I343+I338+I333+I328+I319+I314+I309+I304+I299+I294+I289+I284+I279+I264+I259+I254+I249+I244+I239+I234+I229+I224+I219+I214+I204+I199+I194+I189+I184+I179+I174+I169+I151+I67+I61+I56+I48+I43+I209+I438+I468+I464+I456+I452+I323+I38+I34+I480+I484+I488+I510</f>
        <v>56161</v>
      </c>
      <c r="J549" s="612">
        <f>J448+J433+J428+J413+J403+J398+J393+J388+J383+J378+J373+J368+J363+J358+J353+J348+J343+J338+J333+J328+J319+J314+J309+J304+J299+J294+J289+J284+J279+J264+J259+J254+J249+J244+J239+J234+J229+J224+J219+J214+J204+J199+J194+J189+J184+J179+J174+J169+J151+J67+J61+J56+J48+J43+J209+J438+J468+J464+J456+J452+J323+J38+J34+J480+J484+J488+J510+1174</f>
        <v>1621933</v>
      </c>
      <c r="K549" s="612">
        <f>K448+K433+K428+K413+K403+K398+K393+K388+K383+K378+K373+K368+K363+K358+K353+K348+K343+K338+K333+K328+K319+K314+K309+K304+K299+K294+K289+K284+K279+K264+K259+K254+K249+K244+K239+K234+K229+K224+K219+K214+K204+K199+K194+K189+K184+K179+K174+K169+K151+K67+K61+K56+K48+K43+K209+K438+K468+K464+K456+K452+K323+K38+K34+K480+K484+K488+K510</f>
        <v>15100</v>
      </c>
      <c r="L549" s="669">
        <f>SUM(I549:K549)</f>
        <v>1693194</v>
      </c>
      <c r="M549" s="667"/>
    </row>
    <row r="550" spans="1:13" ht="20.100000000000001" customHeight="1" x14ac:dyDescent="0.3">
      <c r="A550" s="597">
        <v>541</v>
      </c>
      <c r="B550" s="663"/>
      <c r="C550" s="664"/>
      <c r="D550" s="910" t="s">
        <v>652</v>
      </c>
      <c r="E550" s="1183"/>
      <c r="F550" s="1183"/>
      <c r="G550" s="1185"/>
      <c r="H550" s="1236"/>
      <c r="I550" s="1213">
        <f>I449+I434+I429+I414+I404+I399+I394+I389+I384+I379+I374+I369+I364+I359+I354+I349+I344+I339+I334+I329+I320+I315+I310+I305+I300+I295+I290+I285+I280+I265+I260+I255+I250+I245+I240+I235+I230+I225+I220+I215+I205+I200+I195+I190+I185+I180+I175+I170+I152+I68+I62+I57+I49+I44+I210+I439+I453+I457+I461+I324+I39+I35+I481+I485+I489+I511+I50+I532+I529+I526+I535</f>
        <v>2298</v>
      </c>
      <c r="J550" s="1213">
        <f t="shared" ref="J550:K550" si="68">J449+J434+J429+J414+J404+J399+J394+J389+J384+J379+J374+J369+J364+J359+J354+J349+J344+J339+J334+J329+J320+J315+J310+J305+J300+J295+J290+J285+J280+J265+J260+J255+J250+J245+J240+J235+J230+J225+J220+J215+J205+J200+J195+J190+J185+J180+J175+J170+J152+J68+J62+J57+J49+J44+J210+J439+J453+J457+J461+J324+J39+J35+J481+J485+J489+J511+J50+J532+J529+J526+J535</f>
        <v>232699</v>
      </c>
      <c r="K550" s="1213">
        <f t="shared" si="68"/>
        <v>0</v>
      </c>
      <c r="L550" s="1648">
        <f t="shared" ref="L550:L551" si="69">SUM(I550:K550)</f>
        <v>234997</v>
      </c>
      <c r="M550" s="667"/>
    </row>
    <row r="551" spans="1:13" ht="20.100000000000001" customHeight="1" thickBot="1" x14ac:dyDescent="0.35">
      <c r="A551" s="597">
        <v>542</v>
      </c>
      <c r="B551" s="631"/>
      <c r="C551" s="632"/>
      <c r="D551" s="1200" t="s">
        <v>858</v>
      </c>
      <c r="E551" s="1201"/>
      <c r="F551" s="1201"/>
      <c r="G551" s="1238"/>
      <c r="H551" s="1237"/>
      <c r="I551" s="672">
        <f>SUM(I549:I550)</f>
        <v>58459</v>
      </c>
      <c r="J551" s="672">
        <f t="shared" ref="J551" si="70">SUM(J549:J550)</f>
        <v>1854632</v>
      </c>
      <c r="K551" s="672">
        <f>SUM(K549:K550)</f>
        <v>15100</v>
      </c>
      <c r="L551" s="670">
        <f t="shared" si="69"/>
        <v>1928191</v>
      </c>
      <c r="M551" s="668"/>
    </row>
    <row r="552" spans="1:13" ht="18" customHeight="1" x14ac:dyDescent="0.3">
      <c r="B552" s="625" t="s">
        <v>25</v>
      </c>
      <c r="C552" s="625"/>
      <c r="D552" s="625"/>
      <c r="E552" s="1660"/>
      <c r="F552" s="1661"/>
      <c r="G552" s="1660"/>
      <c r="H552" s="628"/>
      <c r="I552" s="1660"/>
      <c r="J552" s="1660"/>
      <c r="K552" s="1660"/>
      <c r="L552" s="1660"/>
    </row>
    <row r="553" spans="1:13" ht="18" customHeight="1" x14ac:dyDescent="0.3">
      <c r="B553" s="625" t="s">
        <v>26</v>
      </c>
      <c r="C553" s="625"/>
      <c r="D553" s="625"/>
      <c r="E553" s="1662"/>
      <c r="F553" s="1661"/>
      <c r="G553" s="1660"/>
      <c r="H553" s="628"/>
      <c r="I553" s="1660"/>
      <c r="J553" s="1660"/>
      <c r="K553" s="1660"/>
      <c r="L553" s="1660"/>
    </row>
    <row r="554" spans="1:13" ht="18" customHeight="1" x14ac:dyDescent="0.3">
      <c r="B554" s="625" t="s">
        <v>27</v>
      </c>
      <c r="C554" s="625"/>
      <c r="D554" s="625"/>
      <c r="E554" s="1662"/>
      <c r="F554" s="1661"/>
      <c r="G554" s="1660"/>
      <c r="H554" s="628"/>
      <c r="I554" s="1660"/>
      <c r="J554" s="1660"/>
      <c r="K554" s="1660"/>
      <c r="L554" s="1660"/>
    </row>
  </sheetData>
  <mergeCells count="17">
    <mergeCell ref="G7:G9"/>
    <mergeCell ref="F7:F9"/>
    <mergeCell ref="D542:G542"/>
    <mergeCell ref="D537:G537"/>
    <mergeCell ref="B2:D2"/>
    <mergeCell ref="I2:M2"/>
    <mergeCell ref="B3:M3"/>
    <mergeCell ref="B4:M4"/>
    <mergeCell ref="I7:L7"/>
    <mergeCell ref="M7:M9"/>
    <mergeCell ref="E7:E9"/>
    <mergeCell ref="B7:B9"/>
    <mergeCell ref="C7:C9"/>
    <mergeCell ref="D7:D9"/>
    <mergeCell ref="J8:K8"/>
    <mergeCell ref="L8:L9"/>
    <mergeCell ref="H7:H9"/>
  </mergeCells>
  <printOptions horizontalCentered="1"/>
  <pageMargins left="0.19685039370078741" right="0.19685039370078741" top="0.59055118110236227" bottom="0.59055118110236227" header="0.51181102362204722" footer="0.51181102362204722"/>
  <pageSetup paperSize="9" scale="54" fitToHeight="0" orientation="portrait" r:id="rId1"/>
  <headerFooter>
    <oddFooter>&amp;C- &amp;P -</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IR114"/>
  <sheetViews>
    <sheetView view="pageBreakPreview" topLeftCell="D102" zoomScaleNormal="100" zoomScaleSheetLayoutView="100" workbookViewId="0">
      <selection activeCell="A5" sqref="A5:L113"/>
    </sheetView>
  </sheetViews>
  <sheetFormatPr defaultColWidth="9.28515625" defaultRowHeight="15" x14ac:dyDescent="0.3"/>
  <cols>
    <col min="1" max="1" width="3.5703125" style="588" customWidth="1"/>
    <col min="2" max="2" width="5.7109375" style="589" customWidth="1"/>
    <col min="3" max="3" width="5.7109375" style="590" customWidth="1"/>
    <col min="4" max="4" width="59.7109375" style="591" customWidth="1"/>
    <col min="5" max="7" width="10.7109375" style="178" customWidth="1"/>
    <col min="8" max="8" width="6.7109375" style="592" customWidth="1"/>
    <col min="9" max="10" width="14.7109375" style="178" customWidth="1"/>
    <col min="11" max="11" width="15.7109375" style="178" customWidth="1"/>
    <col min="12" max="12" width="13.7109375" style="624" customWidth="1"/>
    <col min="13" max="16384" width="9.28515625" style="179"/>
  </cols>
  <sheetData>
    <row r="1" spans="1:250" ht="16.5" x14ac:dyDescent="0.3">
      <c r="B1" s="19" t="s">
        <v>871</v>
      </c>
      <c r="C1" s="19"/>
      <c r="D1" s="19"/>
      <c r="E1" s="19"/>
      <c r="F1" s="19"/>
      <c r="G1" s="19"/>
      <c r="H1" s="19"/>
      <c r="I1" s="19"/>
      <c r="J1" s="19"/>
    </row>
    <row r="2" spans="1:250" s="119" customFormat="1" ht="18" customHeight="1" x14ac:dyDescent="0.3">
      <c r="A2" s="586"/>
      <c r="B2" s="1983" t="s">
        <v>800</v>
      </c>
      <c r="C2" s="1983"/>
      <c r="D2" s="1983"/>
      <c r="E2" s="174"/>
      <c r="F2" s="174"/>
      <c r="G2" s="174"/>
      <c r="H2" s="587"/>
      <c r="I2" s="2014"/>
      <c r="J2" s="2014"/>
      <c r="K2" s="2014"/>
      <c r="L2" s="2014"/>
      <c r="M2" s="175"/>
      <c r="N2" s="175"/>
      <c r="O2" s="175"/>
      <c r="P2" s="175"/>
      <c r="Q2" s="175"/>
      <c r="R2" s="175"/>
      <c r="S2" s="175"/>
      <c r="T2" s="175"/>
      <c r="U2" s="175"/>
      <c r="V2" s="175"/>
      <c r="W2" s="175"/>
      <c r="X2" s="175"/>
      <c r="Y2" s="175"/>
      <c r="Z2" s="175"/>
      <c r="AA2" s="175"/>
      <c r="AB2" s="175"/>
      <c r="AC2" s="175"/>
      <c r="AD2" s="175"/>
      <c r="AE2" s="175"/>
      <c r="AF2" s="175"/>
      <c r="AG2" s="175"/>
      <c r="AH2" s="175"/>
      <c r="AI2" s="175"/>
      <c r="AJ2" s="175"/>
      <c r="AK2" s="175"/>
      <c r="AL2" s="175"/>
      <c r="AM2" s="175"/>
      <c r="AN2" s="175"/>
      <c r="AO2" s="175"/>
      <c r="AP2" s="175"/>
      <c r="AQ2" s="175"/>
      <c r="AR2" s="175"/>
      <c r="AS2" s="175"/>
      <c r="AT2" s="175"/>
      <c r="AU2" s="175"/>
      <c r="AV2" s="175"/>
      <c r="AW2" s="175"/>
      <c r="AX2" s="175"/>
      <c r="AY2" s="175"/>
      <c r="AZ2" s="175"/>
      <c r="BA2" s="175"/>
      <c r="BB2" s="175"/>
      <c r="BC2" s="175"/>
      <c r="BD2" s="175"/>
      <c r="BE2" s="175"/>
      <c r="BF2" s="175"/>
      <c r="BG2" s="175"/>
      <c r="BH2" s="175"/>
      <c r="BI2" s="175"/>
      <c r="BJ2" s="175"/>
      <c r="BK2" s="175"/>
      <c r="BL2" s="175"/>
      <c r="BM2" s="175"/>
      <c r="BN2" s="175"/>
      <c r="BO2" s="175"/>
      <c r="BP2" s="175"/>
      <c r="BQ2" s="175"/>
      <c r="BR2" s="175"/>
      <c r="BS2" s="175"/>
      <c r="BT2" s="175"/>
      <c r="BU2" s="175"/>
      <c r="BV2" s="175"/>
      <c r="BW2" s="175"/>
      <c r="BX2" s="175"/>
      <c r="BY2" s="175"/>
      <c r="BZ2" s="175"/>
      <c r="CA2" s="175"/>
      <c r="CB2" s="175"/>
      <c r="CC2" s="175"/>
      <c r="CD2" s="175"/>
      <c r="CE2" s="175"/>
      <c r="CF2" s="175"/>
      <c r="CG2" s="175"/>
      <c r="CH2" s="175"/>
      <c r="CI2" s="175"/>
      <c r="CJ2" s="175"/>
      <c r="CK2" s="175"/>
      <c r="CL2" s="175"/>
      <c r="CM2" s="175"/>
      <c r="CN2" s="175"/>
      <c r="CO2" s="175"/>
      <c r="CP2" s="175"/>
      <c r="CQ2" s="175"/>
      <c r="CR2" s="175"/>
      <c r="CS2" s="175"/>
      <c r="CT2" s="175"/>
      <c r="CU2" s="175"/>
      <c r="CV2" s="175"/>
      <c r="CW2" s="175"/>
      <c r="CX2" s="175"/>
      <c r="CY2" s="175"/>
      <c r="CZ2" s="175"/>
      <c r="DA2" s="175"/>
      <c r="DB2" s="175"/>
      <c r="DC2" s="175"/>
      <c r="DD2" s="175"/>
      <c r="DE2" s="175"/>
      <c r="DF2" s="175"/>
      <c r="DG2" s="175"/>
      <c r="DH2" s="175"/>
      <c r="DI2" s="175"/>
      <c r="DJ2" s="175"/>
      <c r="DK2" s="175"/>
      <c r="DL2" s="175"/>
      <c r="DM2" s="175"/>
      <c r="DN2" s="175"/>
      <c r="DO2" s="175"/>
      <c r="DP2" s="175"/>
      <c r="DQ2" s="175"/>
      <c r="DR2" s="175"/>
      <c r="DS2" s="175"/>
      <c r="DT2" s="175"/>
      <c r="DU2" s="175"/>
      <c r="DV2" s="175"/>
      <c r="DW2" s="175"/>
      <c r="DX2" s="175"/>
      <c r="DY2" s="175"/>
      <c r="DZ2" s="175"/>
      <c r="EA2" s="175"/>
      <c r="EB2" s="175"/>
      <c r="EC2" s="175"/>
      <c r="ED2" s="175"/>
      <c r="EE2" s="175"/>
      <c r="EF2" s="175"/>
      <c r="EG2" s="175"/>
      <c r="EH2" s="175"/>
      <c r="EI2" s="175"/>
      <c r="EJ2" s="175"/>
      <c r="EK2" s="175"/>
      <c r="EL2" s="175"/>
      <c r="EM2" s="175"/>
      <c r="EN2" s="175"/>
      <c r="EO2" s="175"/>
      <c r="EP2" s="175"/>
      <c r="EQ2" s="175"/>
      <c r="ER2" s="175"/>
      <c r="ES2" s="175"/>
      <c r="ET2" s="175"/>
      <c r="EU2" s="175"/>
      <c r="EV2" s="175"/>
      <c r="EW2" s="175"/>
      <c r="EX2" s="175"/>
      <c r="EY2" s="175"/>
      <c r="EZ2" s="175"/>
      <c r="FA2" s="175"/>
      <c r="FB2" s="175"/>
      <c r="FC2" s="175"/>
      <c r="FD2" s="175"/>
      <c r="FE2" s="175"/>
      <c r="FF2" s="175"/>
      <c r="FG2" s="175"/>
      <c r="FH2" s="175"/>
      <c r="FI2" s="175"/>
      <c r="FJ2" s="175"/>
      <c r="FK2" s="175"/>
      <c r="FL2" s="175"/>
      <c r="FM2" s="175"/>
      <c r="FN2" s="175"/>
      <c r="FO2" s="175"/>
      <c r="FP2" s="175"/>
      <c r="FQ2" s="175"/>
      <c r="FR2" s="175"/>
      <c r="FS2" s="175"/>
      <c r="FT2" s="175"/>
      <c r="FU2" s="175"/>
      <c r="FV2" s="175"/>
      <c r="FW2" s="175"/>
      <c r="FX2" s="175"/>
      <c r="FY2" s="175"/>
      <c r="FZ2" s="175"/>
      <c r="GA2" s="175"/>
      <c r="GB2" s="175"/>
      <c r="GC2" s="175"/>
      <c r="GD2" s="175"/>
      <c r="GE2" s="175"/>
      <c r="GF2" s="175"/>
      <c r="GG2" s="175"/>
      <c r="GH2" s="175"/>
      <c r="GI2" s="175"/>
      <c r="GJ2" s="175"/>
      <c r="GK2" s="175"/>
      <c r="GL2" s="175"/>
      <c r="GM2" s="175"/>
      <c r="GN2" s="175"/>
      <c r="GO2" s="175"/>
      <c r="GP2" s="175"/>
      <c r="GQ2" s="175"/>
      <c r="GR2" s="175"/>
      <c r="GS2" s="175"/>
      <c r="GT2" s="175"/>
      <c r="GU2" s="175"/>
      <c r="GV2" s="175"/>
      <c r="GW2" s="175"/>
      <c r="GX2" s="175"/>
      <c r="GY2" s="175"/>
      <c r="GZ2" s="175"/>
      <c r="HA2" s="175"/>
      <c r="HB2" s="175"/>
      <c r="HC2" s="175"/>
      <c r="HD2" s="175"/>
      <c r="HE2" s="175"/>
      <c r="HF2" s="175"/>
      <c r="HG2" s="175"/>
      <c r="HH2" s="175"/>
      <c r="HI2" s="175"/>
      <c r="HJ2" s="175"/>
      <c r="HK2" s="175"/>
      <c r="HL2" s="175"/>
      <c r="HM2" s="175"/>
      <c r="HN2" s="175"/>
      <c r="HO2" s="175"/>
      <c r="HP2" s="175"/>
      <c r="HQ2" s="175"/>
      <c r="HR2" s="175"/>
      <c r="HS2" s="175"/>
      <c r="HT2" s="175"/>
      <c r="HU2" s="175"/>
      <c r="HV2" s="175"/>
      <c r="HW2" s="175"/>
      <c r="HX2" s="175"/>
      <c r="HY2" s="175"/>
      <c r="HZ2" s="175"/>
      <c r="IA2" s="175"/>
      <c r="IB2" s="175"/>
      <c r="IC2" s="175"/>
      <c r="ID2" s="175"/>
      <c r="IE2" s="175"/>
      <c r="IF2" s="175"/>
      <c r="IG2" s="175"/>
      <c r="IH2" s="175"/>
      <c r="II2" s="175"/>
      <c r="IJ2" s="175"/>
      <c r="IK2" s="175"/>
      <c r="IL2" s="175"/>
      <c r="IM2" s="175"/>
      <c r="IN2" s="175"/>
      <c r="IO2" s="175"/>
      <c r="IP2" s="175"/>
    </row>
    <row r="3" spans="1:250" s="119" customFormat="1" ht="18" customHeight="1" x14ac:dyDescent="0.35">
      <c r="A3" s="588"/>
      <c r="B3" s="1985" t="s">
        <v>14</v>
      </c>
      <c r="C3" s="1985"/>
      <c r="D3" s="1985"/>
      <c r="E3" s="1985"/>
      <c r="F3" s="1985"/>
      <c r="G3" s="1985"/>
      <c r="H3" s="1985"/>
      <c r="I3" s="1985"/>
      <c r="J3" s="1985"/>
      <c r="K3" s="1985"/>
      <c r="L3" s="1985"/>
    </row>
    <row r="4" spans="1:250" s="119" customFormat="1" ht="18" customHeight="1" x14ac:dyDescent="0.3">
      <c r="A4" s="588"/>
      <c r="B4" s="1986" t="s">
        <v>525</v>
      </c>
      <c r="C4" s="1986"/>
      <c r="D4" s="1986"/>
      <c r="E4" s="1986"/>
      <c r="F4" s="1986"/>
      <c r="G4" s="1986"/>
      <c r="H4" s="1986"/>
      <c r="I4" s="1986"/>
      <c r="J4" s="1986"/>
      <c r="K4" s="1986"/>
      <c r="L4" s="1986"/>
    </row>
    <row r="5" spans="1:250" ht="18" customHeight="1" x14ac:dyDescent="0.3">
      <c r="L5" s="180" t="s">
        <v>0</v>
      </c>
    </row>
    <row r="6" spans="1:250" s="55" customFormat="1" ht="18" customHeight="1" thickBot="1" x14ac:dyDescent="0.25">
      <c r="A6" s="588"/>
      <c r="B6" s="593" t="s">
        <v>1</v>
      </c>
      <c r="C6" s="594" t="s">
        <v>3</v>
      </c>
      <c r="D6" s="594" t="s">
        <v>2</v>
      </c>
      <c r="E6" s="594" t="s">
        <v>4</v>
      </c>
      <c r="F6" s="594" t="s">
        <v>5</v>
      </c>
      <c r="G6" s="594" t="s">
        <v>15</v>
      </c>
      <c r="H6" s="594" t="s">
        <v>16</v>
      </c>
      <c r="I6" s="594" t="s">
        <v>28</v>
      </c>
      <c r="J6" s="594" t="s">
        <v>23</v>
      </c>
      <c r="K6" s="594" t="s">
        <v>33</v>
      </c>
      <c r="L6" s="594" t="s">
        <v>34</v>
      </c>
      <c r="M6" s="588"/>
      <c r="N6" s="588"/>
      <c r="O6" s="588"/>
      <c r="P6" s="588"/>
      <c r="Q6" s="588"/>
      <c r="R6" s="588"/>
      <c r="S6" s="588"/>
      <c r="T6" s="588"/>
      <c r="U6" s="588"/>
      <c r="V6" s="588"/>
      <c r="W6" s="588"/>
      <c r="X6" s="588"/>
      <c r="Y6" s="588"/>
      <c r="Z6" s="588"/>
      <c r="AA6" s="588"/>
      <c r="AB6" s="588"/>
      <c r="AC6" s="588"/>
      <c r="AD6" s="588"/>
      <c r="AE6" s="588"/>
      <c r="AF6" s="588"/>
      <c r="AG6" s="588"/>
      <c r="AH6" s="588"/>
      <c r="AI6" s="588"/>
      <c r="AJ6" s="588"/>
      <c r="AK6" s="588"/>
      <c r="AL6" s="588"/>
      <c r="AM6" s="588"/>
      <c r="AN6" s="588"/>
      <c r="AO6" s="588"/>
      <c r="AP6" s="588"/>
      <c r="AQ6" s="588"/>
      <c r="AR6" s="588"/>
      <c r="AS6" s="588"/>
      <c r="AT6" s="588"/>
      <c r="AU6" s="588"/>
      <c r="AV6" s="588"/>
      <c r="AW6" s="588"/>
      <c r="AX6" s="588"/>
      <c r="AY6" s="588"/>
      <c r="AZ6" s="588"/>
      <c r="BA6" s="588"/>
      <c r="BB6" s="588"/>
      <c r="BC6" s="588"/>
      <c r="BD6" s="588"/>
      <c r="BE6" s="588"/>
      <c r="BF6" s="588"/>
      <c r="BG6" s="588"/>
      <c r="BH6" s="588"/>
      <c r="BI6" s="588"/>
      <c r="BJ6" s="588"/>
      <c r="BK6" s="588"/>
      <c r="BL6" s="588"/>
      <c r="BM6" s="588"/>
      <c r="BN6" s="588"/>
      <c r="BO6" s="588"/>
      <c r="BP6" s="588"/>
      <c r="BQ6" s="588"/>
      <c r="BR6" s="588"/>
      <c r="BS6" s="588"/>
      <c r="BT6" s="588"/>
      <c r="BU6" s="588"/>
      <c r="BV6" s="588"/>
      <c r="BW6" s="588"/>
      <c r="BX6" s="588"/>
      <c r="BY6" s="588"/>
      <c r="BZ6" s="588"/>
      <c r="CA6" s="588"/>
      <c r="CB6" s="588"/>
      <c r="CC6" s="588"/>
      <c r="CD6" s="588"/>
      <c r="CE6" s="588"/>
      <c r="CF6" s="588"/>
      <c r="CG6" s="588"/>
      <c r="CH6" s="588"/>
      <c r="CI6" s="588"/>
      <c r="CJ6" s="588"/>
      <c r="CK6" s="588"/>
      <c r="CL6" s="588"/>
      <c r="CM6" s="588"/>
      <c r="CN6" s="588"/>
      <c r="CO6" s="588"/>
      <c r="CP6" s="588"/>
      <c r="CQ6" s="588"/>
      <c r="CR6" s="588"/>
      <c r="CS6" s="588"/>
      <c r="CT6" s="588"/>
      <c r="CU6" s="588"/>
      <c r="CV6" s="588"/>
      <c r="CW6" s="588"/>
      <c r="CX6" s="588"/>
      <c r="CY6" s="588"/>
      <c r="CZ6" s="588"/>
      <c r="DA6" s="588"/>
      <c r="DB6" s="588"/>
      <c r="DC6" s="588"/>
      <c r="DD6" s="588"/>
      <c r="DE6" s="588"/>
      <c r="DF6" s="588"/>
      <c r="DG6" s="588"/>
      <c r="DH6" s="588"/>
      <c r="DI6" s="588"/>
      <c r="DJ6" s="588"/>
      <c r="DK6" s="588"/>
      <c r="DL6" s="588"/>
      <c r="DM6" s="588"/>
      <c r="DN6" s="588"/>
      <c r="DO6" s="588"/>
      <c r="DP6" s="588"/>
      <c r="DQ6" s="588"/>
      <c r="DR6" s="588"/>
      <c r="DS6" s="588"/>
      <c r="DT6" s="588"/>
      <c r="DU6" s="588"/>
      <c r="DV6" s="588"/>
      <c r="DW6" s="588"/>
      <c r="DX6" s="588"/>
      <c r="DY6" s="588"/>
      <c r="DZ6" s="588"/>
      <c r="EA6" s="588"/>
      <c r="EB6" s="588"/>
      <c r="EC6" s="588"/>
      <c r="ED6" s="588"/>
      <c r="EE6" s="588"/>
      <c r="EF6" s="588"/>
      <c r="EG6" s="588"/>
      <c r="EH6" s="588"/>
      <c r="EI6" s="588"/>
      <c r="EJ6" s="588"/>
      <c r="EK6" s="588"/>
      <c r="EL6" s="588"/>
      <c r="EM6" s="588"/>
      <c r="EN6" s="588"/>
      <c r="EO6" s="588"/>
      <c r="EP6" s="588"/>
      <c r="EQ6" s="588"/>
      <c r="ER6" s="588"/>
      <c r="ES6" s="588"/>
      <c r="ET6" s="588"/>
      <c r="EU6" s="588"/>
      <c r="EV6" s="588"/>
      <c r="EW6" s="588"/>
      <c r="EX6" s="588"/>
      <c r="EY6" s="588"/>
      <c r="EZ6" s="588"/>
      <c r="FA6" s="588"/>
      <c r="FB6" s="588"/>
      <c r="FC6" s="588"/>
      <c r="FD6" s="588"/>
      <c r="FE6" s="588"/>
      <c r="FF6" s="588"/>
      <c r="FG6" s="588"/>
      <c r="FH6" s="588"/>
      <c r="FI6" s="588"/>
      <c r="FJ6" s="588"/>
      <c r="FK6" s="588"/>
      <c r="FL6" s="588"/>
      <c r="FM6" s="588"/>
      <c r="FN6" s="588"/>
      <c r="FO6" s="588"/>
      <c r="FP6" s="588"/>
      <c r="FQ6" s="588"/>
      <c r="FR6" s="588"/>
      <c r="FS6" s="588"/>
      <c r="FT6" s="588"/>
      <c r="FU6" s="588"/>
      <c r="FV6" s="588"/>
      <c r="FW6" s="588"/>
      <c r="FX6" s="588"/>
      <c r="FY6" s="588"/>
      <c r="FZ6" s="588"/>
      <c r="GA6" s="588"/>
      <c r="GB6" s="588"/>
      <c r="GC6" s="588"/>
      <c r="GD6" s="588"/>
      <c r="GE6" s="588"/>
      <c r="GF6" s="588"/>
      <c r="GG6" s="588"/>
      <c r="GH6" s="588"/>
      <c r="GI6" s="588"/>
      <c r="GJ6" s="588"/>
      <c r="GK6" s="588"/>
      <c r="GL6" s="588"/>
      <c r="GM6" s="588"/>
      <c r="GN6" s="588"/>
      <c r="GO6" s="588"/>
      <c r="GP6" s="588"/>
      <c r="GQ6" s="588"/>
      <c r="GR6" s="588"/>
      <c r="GS6" s="588"/>
      <c r="GT6" s="588"/>
      <c r="GU6" s="588"/>
      <c r="GV6" s="588"/>
      <c r="GW6" s="588"/>
      <c r="GX6" s="588"/>
      <c r="GY6" s="588"/>
      <c r="GZ6" s="588"/>
      <c r="HA6" s="588"/>
      <c r="HB6" s="588"/>
      <c r="HC6" s="588"/>
      <c r="HD6" s="588"/>
      <c r="HE6" s="588"/>
      <c r="HF6" s="588"/>
      <c r="HG6" s="588"/>
      <c r="HH6" s="588"/>
      <c r="HI6" s="588"/>
      <c r="HJ6" s="588"/>
      <c r="HK6" s="588"/>
      <c r="HL6" s="588"/>
      <c r="HM6" s="588"/>
      <c r="HN6" s="588"/>
      <c r="HO6" s="588"/>
      <c r="HP6" s="588"/>
      <c r="HQ6" s="588"/>
      <c r="HR6" s="588"/>
      <c r="HS6" s="588"/>
      <c r="HT6" s="588"/>
      <c r="HU6" s="588"/>
      <c r="HV6" s="588"/>
      <c r="HW6" s="588"/>
      <c r="HX6" s="588"/>
      <c r="HY6" s="588"/>
      <c r="HZ6" s="588"/>
      <c r="IA6" s="588"/>
      <c r="IB6" s="588"/>
      <c r="IC6" s="588"/>
      <c r="ID6" s="588"/>
      <c r="IE6" s="588"/>
      <c r="IF6" s="588"/>
      <c r="IG6" s="588"/>
      <c r="IH6" s="588"/>
      <c r="II6" s="588"/>
      <c r="IJ6" s="588"/>
      <c r="IK6" s="588"/>
      <c r="IL6" s="588"/>
      <c r="IM6" s="588"/>
      <c r="IN6" s="588"/>
      <c r="IO6" s="588"/>
      <c r="IP6" s="588"/>
    </row>
    <row r="7" spans="1:250" ht="30" customHeight="1" x14ac:dyDescent="0.3">
      <c r="B7" s="1993" t="s">
        <v>18</v>
      </c>
      <c r="C7" s="1996" t="s">
        <v>19</v>
      </c>
      <c r="D7" s="1999" t="s">
        <v>6</v>
      </c>
      <c r="E7" s="1975" t="s">
        <v>21</v>
      </c>
      <c r="F7" s="1975" t="s">
        <v>650</v>
      </c>
      <c r="G7" s="2008" t="s">
        <v>710</v>
      </c>
      <c r="H7" s="2005" t="s">
        <v>238</v>
      </c>
      <c r="I7" s="2015" t="s">
        <v>514</v>
      </c>
      <c r="J7" s="2015"/>
      <c r="K7" s="2016"/>
      <c r="L7" s="1990" t="s">
        <v>515</v>
      </c>
    </row>
    <row r="8" spans="1:250" ht="45" customHeight="1" x14ac:dyDescent="0.3">
      <c r="B8" s="1994"/>
      <c r="C8" s="1997"/>
      <c r="D8" s="2000"/>
      <c r="E8" s="1976"/>
      <c r="F8" s="1976"/>
      <c r="G8" s="2009"/>
      <c r="H8" s="2006"/>
      <c r="I8" s="592" t="s">
        <v>35</v>
      </c>
      <c r="J8" s="652" t="s">
        <v>125</v>
      </c>
      <c r="K8" s="2003" t="s">
        <v>101</v>
      </c>
      <c r="L8" s="1991"/>
    </row>
    <row r="9" spans="1:250" ht="53.25" customHeight="1" thickBot="1" x14ac:dyDescent="0.35">
      <c r="B9" s="1995"/>
      <c r="C9" s="1998"/>
      <c r="D9" s="2001"/>
      <c r="E9" s="1977"/>
      <c r="F9" s="1977"/>
      <c r="G9" s="2010"/>
      <c r="H9" s="2007"/>
      <c r="I9" s="595" t="s">
        <v>38</v>
      </c>
      <c r="J9" s="596" t="s">
        <v>187</v>
      </c>
      <c r="K9" s="2004"/>
      <c r="L9" s="1992"/>
    </row>
    <row r="10" spans="1:250" ht="23.25" customHeight="1" x14ac:dyDescent="0.3">
      <c r="A10" s="597">
        <v>1</v>
      </c>
      <c r="B10" s="598">
        <v>18</v>
      </c>
      <c r="C10" s="209" t="s">
        <v>22</v>
      </c>
      <c r="D10" s="599"/>
      <c r="E10" s="600"/>
      <c r="F10" s="601"/>
      <c r="G10" s="602"/>
      <c r="H10" s="603"/>
      <c r="I10" s="604"/>
      <c r="J10" s="605"/>
      <c r="K10" s="606"/>
      <c r="L10" s="607"/>
    </row>
    <row r="11" spans="1:250" ht="20.100000000000001" customHeight="1" x14ac:dyDescent="0.3">
      <c r="A11" s="597">
        <v>2</v>
      </c>
      <c r="B11" s="608"/>
      <c r="C11" s="615">
        <v>1</v>
      </c>
      <c r="D11" s="616" t="s">
        <v>299</v>
      </c>
      <c r="E11" s="609">
        <f>F11+G11+K15+L12</f>
        <v>1253</v>
      </c>
      <c r="F11" s="610"/>
      <c r="G11" s="618"/>
      <c r="H11" s="619" t="s">
        <v>24</v>
      </c>
      <c r="I11" s="611"/>
      <c r="J11" s="612"/>
      <c r="K11" s="613"/>
      <c r="L11" s="614"/>
    </row>
    <row r="12" spans="1:250" ht="18" customHeight="1" x14ac:dyDescent="0.3">
      <c r="A12" s="597">
        <v>3</v>
      </c>
      <c r="B12" s="608"/>
      <c r="C12" s="615"/>
      <c r="D12" s="241" t="s">
        <v>245</v>
      </c>
      <c r="E12" s="609"/>
      <c r="F12" s="610"/>
      <c r="G12" s="618"/>
      <c r="H12" s="619"/>
      <c r="I12" s="611"/>
      <c r="J12" s="1215">
        <v>1253</v>
      </c>
      <c r="K12" s="1216">
        <f t="shared" ref="K12:K90" si="0">SUM(I12:J12)</f>
        <v>1253</v>
      </c>
      <c r="L12" s="614"/>
    </row>
    <row r="13" spans="1:250" ht="18" customHeight="1" x14ac:dyDescent="0.3">
      <c r="A13" s="597">
        <v>4</v>
      </c>
      <c r="B13" s="608"/>
      <c r="C13" s="615"/>
      <c r="D13" s="377" t="s">
        <v>810</v>
      </c>
      <c r="E13" s="609"/>
      <c r="F13" s="610"/>
      <c r="G13" s="618"/>
      <c r="H13" s="619"/>
      <c r="I13" s="611"/>
      <c r="J13" s="612">
        <v>1253</v>
      </c>
      <c r="K13" s="613">
        <f t="shared" si="0"/>
        <v>1253</v>
      </c>
      <c r="L13" s="614"/>
    </row>
    <row r="14" spans="1:250" ht="18" customHeight="1" x14ac:dyDescent="0.3">
      <c r="A14" s="597">
        <v>5</v>
      </c>
      <c r="B14" s="608"/>
      <c r="C14" s="615"/>
      <c r="D14" s="910" t="s">
        <v>652</v>
      </c>
      <c r="E14" s="609"/>
      <c r="F14" s="610"/>
      <c r="G14" s="618"/>
      <c r="H14" s="619"/>
      <c r="I14" s="1212"/>
      <c r="J14" s="1213"/>
      <c r="K14" s="1214">
        <f t="shared" si="0"/>
        <v>0</v>
      </c>
      <c r="L14" s="614"/>
    </row>
    <row r="15" spans="1:250" ht="18" customHeight="1" x14ac:dyDescent="0.3">
      <c r="A15" s="597">
        <v>6</v>
      </c>
      <c r="B15" s="608"/>
      <c r="C15" s="615"/>
      <c r="D15" s="377" t="s">
        <v>858</v>
      </c>
      <c r="E15" s="609"/>
      <c r="F15" s="610"/>
      <c r="G15" s="618"/>
      <c r="H15" s="619"/>
      <c r="I15" s="611"/>
      <c r="J15" s="612">
        <f>SUM(J13:J14)</f>
        <v>1253</v>
      </c>
      <c r="K15" s="613">
        <f>SUM(I15:J15)</f>
        <v>1253</v>
      </c>
      <c r="L15" s="614"/>
    </row>
    <row r="16" spans="1:250" ht="20.100000000000001" customHeight="1" x14ac:dyDescent="0.3">
      <c r="A16" s="597">
        <v>7</v>
      </c>
      <c r="B16" s="608"/>
      <c r="C16" s="615">
        <v>2</v>
      </c>
      <c r="D16" s="616" t="s">
        <v>418</v>
      </c>
      <c r="E16" s="609">
        <f>F16+G16+K20+L17</f>
        <v>20980</v>
      </c>
      <c r="F16" s="610"/>
      <c r="G16" s="618">
        <v>3354</v>
      </c>
      <c r="H16" s="619" t="s">
        <v>23</v>
      </c>
      <c r="I16" s="611"/>
      <c r="J16" s="612"/>
      <c r="K16" s="613"/>
      <c r="L16" s="614"/>
    </row>
    <row r="17" spans="1:12" ht="18" customHeight="1" x14ac:dyDescent="0.3">
      <c r="A17" s="597">
        <v>8</v>
      </c>
      <c r="B17" s="608"/>
      <c r="C17" s="615"/>
      <c r="D17" s="241" t="s">
        <v>245</v>
      </c>
      <c r="E17" s="609"/>
      <c r="F17" s="610"/>
      <c r="G17" s="618"/>
      <c r="H17" s="619"/>
      <c r="I17" s="611"/>
      <c r="J17" s="1215">
        <v>17646</v>
      </c>
      <c r="K17" s="1216">
        <f t="shared" si="0"/>
        <v>17646</v>
      </c>
      <c r="L17" s="614"/>
    </row>
    <row r="18" spans="1:12" ht="18" customHeight="1" x14ac:dyDescent="0.3">
      <c r="A18" s="597">
        <v>9</v>
      </c>
      <c r="B18" s="608"/>
      <c r="C18" s="615"/>
      <c r="D18" s="377" t="s">
        <v>810</v>
      </c>
      <c r="E18" s="609"/>
      <c r="F18" s="610"/>
      <c r="G18" s="618"/>
      <c r="H18" s="619"/>
      <c r="I18" s="611"/>
      <c r="J18" s="612">
        <v>17646</v>
      </c>
      <c r="K18" s="613">
        <f t="shared" si="0"/>
        <v>17646</v>
      </c>
      <c r="L18" s="614"/>
    </row>
    <row r="19" spans="1:12" ht="18" customHeight="1" x14ac:dyDescent="0.3">
      <c r="A19" s="597">
        <v>10</v>
      </c>
      <c r="B19" s="608"/>
      <c r="C19" s="615"/>
      <c r="D19" s="910" t="s">
        <v>894</v>
      </c>
      <c r="E19" s="609"/>
      <c r="F19" s="610"/>
      <c r="G19" s="618"/>
      <c r="H19" s="619"/>
      <c r="I19" s="1212"/>
      <c r="J19" s="1213">
        <v>-20</v>
      </c>
      <c r="K19" s="1214">
        <f t="shared" si="0"/>
        <v>-20</v>
      </c>
      <c r="L19" s="614"/>
    </row>
    <row r="20" spans="1:12" ht="18" customHeight="1" x14ac:dyDescent="0.3">
      <c r="A20" s="597">
        <v>11</v>
      </c>
      <c r="B20" s="608"/>
      <c r="C20" s="615"/>
      <c r="D20" s="377" t="s">
        <v>858</v>
      </c>
      <c r="E20" s="609"/>
      <c r="F20" s="610"/>
      <c r="G20" s="618"/>
      <c r="H20" s="619"/>
      <c r="I20" s="611"/>
      <c r="J20" s="612">
        <f>SUM(J18:J19)</f>
        <v>17626</v>
      </c>
      <c r="K20" s="613">
        <f>SUM(I20:J20)</f>
        <v>17626</v>
      </c>
      <c r="L20" s="614"/>
    </row>
    <row r="21" spans="1:12" ht="20.100000000000001" customHeight="1" x14ac:dyDescent="0.3">
      <c r="A21" s="597">
        <v>12</v>
      </c>
      <c r="B21" s="608"/>
      <c r="C21" s="615">
        <v>3</v>
      </c>
      <c r="D21" s="616" t="s">
        <v>350</v>
      </c>
      <c r="E21" s="609">
        <f>F21+G21</f>
        <v>20000</v>
      </c>
      <c r="F21" s="610">
        <v>1336</v>
      </c>
      <c r="G21" s="618">
        <v>18664</v>
      </c>
      <c r="H21" s="619" t="s">
        <v>23</v>
      </c>
      <c r="I21" s="611"/>
      <c r="J21" s="612"/>
      <c r="K21" s="613"/>
      <c r="L21" s="614"/>
    </row>
    <row r="22" spans="1:12" ht="20.100000000000001" customHeight="1" x14ac:dyDescent="0.3">
      <c r="A22" s="597">
        <v>13</v>
      </c>
      <c r="B22" s="608"/>
      <c r="C22" s="615">
        <v>4</v>
      </c>
      <c r="D22" s="616" t="s">
        <v>349</v>
      </c>
      <c r="E22" s="609">
        <f>F22+G22</f>
        <v>25000</v>
      </c>
      <c r="F22" s="610">
        <v>15000</v>
      </c>
      <c r="G22" s="618">
        <v>10000</v>
      </c>
      <c r="H22" s="619" t="s">
        <v>23</v>
      </c>
      <c r="I22" s="611"/>
      <c r="J22" s="612"/>
      <c r="K22" s="613"/>
      <c r="L22" s="614"/>
    </row>
    <row r="23" spans="1:12" ht="21.75" customHeight="1" x14ac:dyDescent="0.3">
      <c r="A23" s="597">
        <v>14</v>
      </c>
      <c r="B23" s="608"/>
      <c r="C23" s="615">
        <v>5</v>
      </c>
      <c r="D23" s="616" t="s">
        <v>322</v>
      </c>
      <c r="E23" s="609">
        <f>F23+G23+K27+L24</f>
        <v>60847</v>
      </c>
      <c r="F23" s="610">
        <v>12665</v>
      </c>
      <c r="G23" s="618">
        <v>27420</v>
      </c>
      <c r="H23" s="619" t="s">
        <v>23</v>
      </c>
      <c r="I23" s="611"/>
      <c r="J23" s="612"/>
      <c r="K23" s="613"/>
      <c r="L23" s="614"/>
    </row>
    <row r="24" spans="1:12" ht="18" customHeight="1" x14ac:dyDescent="0.3">
      <c r="A24" s="597">
        <v>15</v>
      </c>
      <c r="B24" s="608"/>
      <c r="C24" s="615"/>
      <c r="D24" s="241" t="s">
        <v>245</v>
      </c>
      <c r="E24" s="609"/>
      <c r="F24" s="610"/>
      <c r="G24" s="618"/>
      <c r="H24" s="619"/>
      <c r="I24" s="611"/>
      <c r="J24" s="1215">
        <v>20762</v>
      </c>
      <c r="K24" s="1216">
        <f t="shared" si="0"/>
        <v>20762</v>
      </c>
      <c r="L24" s="614"/>
    </row>
    <row r="25" spans="1:12" ht="18" customHeight="1" x14ac:dyDescent="0.3">
      <c r="A25" s="597">
        <v>16</v>
      </c>
      <c r="B25" s="608"/>
      <c r="C25" s="615"/>
      <c r="D25" s="377" t="s">
        <v>810</v>
      </c>
      <c r="E25" s="609"/>
      <c r="F25" s="610"/>
      <c r="G25" s="618"/>
      <c r="H25" s="619"/>
      <c r="I25" s="611"/>
      <c r="J25" s="612">
        <v>20762</v>
      </c>
      <c r="K25" s="613">
        <f t="shared" si="0"/>
        <v>20762</v>
      </c>
      <c r="L25" s="614"/>
    </row>
    <row r="26" spans="1:12" ht="18" customHeight="1" x14ac:dyDescent="0.3">
      <c r="A26" s="597">
        <v>17</v>
      </c>
      <c r="B26" s="608"/>
      <c r="C26" s="615"/>
      <c r="D26" s="910" t="s">
        <v>652</v>
      </c>
      <c r="E26" s="609"/>
      <c r="F26" s="610"/>
      <c r="G26" s="618"/>
      <c r="H26" s="619"/>
      <c r="I26" s="1212"/>
      <c r="J26" s="1213"/>
      <c r="K26" s="1214">
        <f t="shared" si="0"/>
        <v>0</v>
      </c>
      <c r="L26" s="614"/>
    </row>
    <row r="27" spans="1:12" ht="18" customHeight="1" x14ac:dyDescent="0.3">
      <c r="A27" s="597">
        <v>18</v>
      </c>
      <c r="B27" s="608"/>
      <c r="C27" s="615"/>
      <c r="D27" s="377" t="s">
        <v>858</v>
      </c>
      <c r="E27" s="609"/>
      <c r="F27" s="610"/>
      <c r="G27" s="618"/>
      <c r="H27" s="619"/>
      <c r="I27" s="611"/>
      <c r="J27" s="612">
        <f>SUM(J25:J26)</f>
        <v>20762</v>
      </c>
      <c r="K27" s="613">
        <f>SUM(I27:J27)</f>
        <v>20762</v>
      </c>
      <c r="L27" s="614"/>
    </row>
    <row r="28" spans="1:12" ht="21.75" customHeight="1" x14ac:dyDescent="0.3">
      <c r="A28" s="597">
        <v>19</v>
      </c>
      <c r="B28" s="608"/>
      <c r="C28" s="615">
        <v>6</v>
      </c>
      <c r="D28" s="616" t="s">
        <v>351</v>
      </c>
      <c r="E28" s="609">
        <f>F28+G28</f>
        <v>0</v>
      </c>
      <c r="F28" s="610"/>
      <c r="G28" s="618"/>
      <c r="H28" s="619" t="s">
        <v>24</v>
      </c>
      <c r="I28" s="611"/>
      <c r="J28" s="612"/>
      <c r="K28" s="613"/>
      <c r="L28" s="614"/>
    </row>
    <row r="29" spans="1:12" ht="20.100000000000001" customHeight="1" x14ac:dyDescent="0.3">
      <c r="A29" s="597">
        <v>20</v>
      </c>
      <c r="B29" s="608"/>
      <c r="C29" s="615">
        <v>7</v>
      </c>
      <c r="D29" s="616" t="s">
        <v>352</v>
      </c>
      <c r="E29" s="609">
        <f>F29+G29</f>
        <v>7000</v>
      </c>
      <c r="F29" s="610">
        <v>4000</v>
      </c>
      <c r="G29" s="618">
        <v>3000</v>
      </c>
      <c r="H29" s="619" t="s">
        <v>23</v>
      </c>
      <c r="I29" s="611"/>
      <c r="J29" s="612"/>
      <c r="K29" s="613"/>
      <c r="L29" s="614"/>
    </row>
    <row r="30" spans="1:12" ht="22.15" customHeight="1" x14ac:dyDescent="0.3">
      <c r="A30" s="597">
        <v>21</v>
      </c>
      <c r="B30" s="608"/>
      <c r="C30" s="615">
        <v>16</v>
      </c>
      <c r="D30" s="616" t="s">
        <v>410</v>
      </c>
      <c r="E30" s="609">
        <f>F30+G30</f>
        <v>2285</v>
      </c>
      <c r="F30" s="610"/>
      <c r="G30" s="618">
        <v>2285</v>
      </c>
      <c r="H30" s="619" t="s">
        <v>24</v>
      </c>
      <c r="I30" s="612"/>
      <c r="J30" s="612"/>
      <c r="K30" s="613"/>
      <c r="L30" s="617"/>
    </row>
    <row r="31" spans="1:12" ht="22.15" customHeight="1" x14ac:dyDescent="0.3">
      <c r="A31" s="597">
        <v>22</v>
      </c>
      <c r="B31" s="608"/>
      <c r="C31" s="615">
        <v>18</v>
      </c>
      <c r="D31" s="616" t="s">
        <v>499</v>
      </c>
      <c r="E31" s="609">
        <f>F31+G31+K35</f>
        <v>380000</v>
      </c>
      <c r="F31" s="610"/>
      <c r="G31" s="618">
        <v>209999</v>
      </c>
      <c r="H31" s="619" t="s">
        <v>24</v>
      </c>
      <c r="I31" s="611"/>
      <c r="J31" s="612"/>
      <c r="K31" s="613"/>
      <c r="L31" s="614"/>
    </row>
    <row r="32" spans="1:12" ht="18" customHeight="1" x14ac:dyDescent="0.3">
      <c r="A32" s="597">
        <v>23</v>
      </c>
      <c r="B32" s="608"/>
      <c r="C32" s="615"/>
      <c r="D32" s="241" t="s">
        <v>245</v>
      </c>
      <c r="E32" s="609"/>
      <c r="F32" s="610"/>
      <c r="G32" s="618"/>
      <c r="H32" s="619"/>
      <c r="I32" s="611"/>
      <c r="J32" s="1215">
        <v>170001</v>
      </c>
      <c r="K32" s="1216">
        <f>SUM(I32:J32)</f>
        <v>170001</v>
      </c>
      <c r="L32" s="617"/>
    </row>
    <row r="33" spans="1:12" ht="18" customHeight="1" x14ac:dyDescent="0.3">
      <c r="A33" s="597">
        <v>24</v>
      </c>
      <c r="B33" s="608"/>
      <c r="C33" s="615"/>
      <c r="D33" s="377" t="s">
        <v>810</v>
      </c>
      <c r="E33" s="609"/>
      <c r="F33" s="610"/>
      <c r="G33" s="618"/>
      <c r="H33" s="619"/>
      <c r="I33" s="611"/>
      <c r="J33" s="612">
        <v>170001</v>
      </c>
      <c r="K33" s="613">
        <f>SUM(I33:J33)</f>
        <v>170001</v>
      </c>
      <c r="L33" s="617"/>
    </row>
    <row r="34" spans="1:12" ht="18" customHeight="1" x14ac:dyDescent="0.3">
      <c r="A34" s="597">
        <v>25</v>
      </c>
      <c r="B34" s="608"/>
      <c r="C34" s="615"/>
      <c r="D34" s="910" t="s">
        <v>652</v>
      </c>
      <c r="E34" s="609"/>
      <c r="F34" s="610"/>
      <c r="G34" s="618"/>
      <c r="H34" s="619"/>
      <c r="I34" s="1212"/>
      <c r="J34" s="1213"/>
      <c r="K34" s="1214">
        <f>SUM(I34:J34)</f>
        <v>0</v>
      </c>
      <c r="L34" s="617"/>
    </row>
    <row r="35" spans="1:12" ht="18" customHeight="1" x14ac:dyDescent="0.3">
      <c r="A35" s="597">
        <v>26</v>
      </c>
      <c r="B35" s="608"/>
      <c r="C35" s="615"/>
      <c r="D35" s="377" t="s">
        <v>858</v>
      </c>
      <c r="E35" s="609"/>
      <c r="F35" s="610"/>
      <c r="G35" s="618"/>
      <c r="H35" s="619"/>
      <c r="I35" s="611"/>
      <c r="J35" s="612">
        <f>SUM(J33:J34)</f>
        <v>170001</v>
      </c>
      <c r="K35" s="613">
        <f>SUM(I35:J35)</f>
        <v>170001</v>
      </c>
      <c r="L35" s="617"/>
    </row>
    <row r="36" spans="1:12" ht="20.100000000000001" customHeight="1" x14ac:dyDescent="0.3">
      <c r="A36" s="597">
        <v>27</v>
      </c>
      <c r="B36" s="608"/>
      <c r="C36" s="615">
        <v>52</v>
      </c>
      <c r="D36" s="616" t="s">
        <v>416</v>
      </c>
      <c r="E36" s="609">
        <f>F36+G36+K40+L37</f>
        <v>35614</v>
      </c>
      <c r="F36" s="610"/>
      <c r="G36" s="618">
        <v>6149</v>
      </c>
      <c r="H36" s="619" t="s">
        <v>24</v>
      </c>
      <c r="I36" s="611"/>
      <c r="J36" s="612"/>
      <c r="K36" s="613"/>
      <c r="L36" s="614"/>
    </row>
    <row r="37" spans="1:12" ht="18" customHeight="1" x14ac:dyDescent="0.3">
      <c r="A37" s="597">
        <v>28</v>
      </c>
      <c r="B37" s="608"/>
      <c r="C37" s="615"/>
      <c r="D37" s="241" t="s">
        <v>245</v>
      </c>
      <c r="E37" s="609"/>
      <c r="F37" s="610"/>
      <c r="G37" s="618"/>
      <c r="H37" s="619"/>
      <c r="I37" s="611"/>
      <c r="J37" s="1215">
        <v>29465</v>
      </c>
      <c r="K37" s="1216">
        <f t="shared" si="0"/>
        <v>29465</v>
      </c>
      <c r="L37" s="614"/>
    </row>
    <row r="38" spans="1:12" ht="18" customHeight="1" x14ac:dyDescent="0.3">
      <c r="A38" s="597">
        <v>29</v>
      </c>
      <c r="B38" s="608"/>
      <c r="C38" s="615"/>
      <c r="D38" s="377" t="s">
        <v>810</v>
      </c>
      <c r="E38" s="609"/>
      <c r="F38" s="610"/>
      <c r="G38" s="618"/>
      <c r="H38" s="619"/>
      <c r="I38" s="611"/>
      <c r="J38" s="612">
        <v>29465</v>
      </c>
      <c r="K38" s="613">
        <f t="shared" si="0"/>
        <v>29465</v>
      </c>
      <c r="L38" s="614"/>
    </row>
    <row r="39" spans="1:12" ht="18" customHeight="1" x14ac:dyDescent="0.3">
      <c r="A39" s="597">
        <v>30</v>
      </c>
      <c r="B39" s="608"/>
      <c r="C39" s="615"/>
      <c r="D39" s="910" t="s">
        <v>652</v>
      </c>
      <c r="E39" s="609"/>
      <c r="F39" s="610"/>
      <c r="G39" s="618"/>
      <c r="H39" s="619"/>
      <c r="I39" s="1212"/>
      <c r="J39" s="1213"/>
      <c r="K39" s="1214">
        <f t="shared" si="0"/>
        <v>0</v>
      </c>
      <c r="L39" s="614"/>
    </row>
    <row r="40" spans="1:12" ht="18" customHeight="1" x14ac:dyDescent="0.3">
      <c r="A40" s="597">
        <v>31</v>
      </c>
      <c r="B40" s="608"/>
      <c r="C40" s="615"/>
      <c r="D40" s="377" t="s">
        <v>858</v>
      </c>
      <c r="E40" s="609"/>
      <c r="F40" s="610"/>
      <c r="G40" s="618"/>
      <c r="H40" s="619"/>
      <c r="I40" s="611"/>
      <c r="J40" s="612">
        <f>SUM(J38:J39)</f>
        <v>29465</v>
      </c>
      <c r="K40" s="613">
        <f>SUM(I40:J40)</f>
        <v>29465</v>
      </c>
      <c r="L40" s="614"/>
    </row>
    <row r="41" spans="1:12" ht="20.100000000000001" customHeight="1" x14ac:dyDescent="0.3">
      <c r="A41" s="597">
        <v>32</v>
      </c>
      <c r="B41" s="608"/>
      <c r="C41" s="615">
        <v>53</v>
      </c>
      <c r="D41" s="616" t="s">
        <v>417</v>
      </c>
      <c r="E41" s="609">
        <f>F41+G41+K45+L42</f>
        <v>3000</v>
      </c>
      <c r="F41" s="610"/>
      <c r="G41" s="618"/>
      <c r="H41" s="619" t="s">
        <v>24</v>
      </c>
      <c r="I41" s="611"/>
      <c r="J41" s="612"/>
      <c r="K41" s="613"/>
      <c r="L41" s="614"/>
    </row>
    <row r="42" spans="1:12" ht="18" customHeight="1" x14ac:dyDescent="0.3">
      <c r="A42" s="597">
        <v>33</v>
      </c>
      <c r="B42" s="608"/>
      <c r="C42" s="615"/>
      <c r="D42" s="241" t="s">
        <v>245</v>
      </c>
      <c r="E42" s="609"/>
      <c r="F42" s="610"/>
      <c r="G42" s="618"/>
      <c r="H42" s="619"/>
      <c r="I42" s="611"/>
      <c r="J42" s="1215">
        <v>3000</v>
      </c>
      <c r="K42" s="1216">
        <f t="shared" si="0"/>
        <v>3000</v>
      </c>
      <c r="L42" s="614"/>
    </row>
    <row r="43" spans="1:12" ht="18" customHeight="1" x14ac:dyDescent="0.3">
      <c r="A43" s="597">
        <v>34</v>
      </c>
      <c r="B43" s="608"/>
      <c r="C43" s="615"/>
      <c r="D43" s="377" t="s">
        <v>810</v>
      </c>
      <c r="E43" s="609"/>
      <c r="F43" s="610"/>
      <c r="G43" s="618"/>
      <c r="H43" s="619"/>
      <c r="I43" s="611"/>
      <c r="J43" s="612">
        <v>3000</v>
      </c>
      <c r="K43" s="613">
        <f t="shared" si="0"/>
        <v>3000</v>
      </c>
      <c r="L43" s="614"/>
    </row>
    <row r="44" spans="1:12" ht="18" customHeight="1" x14ac:dyDescent="0.3">
      <c r="A44" s="597">
        <v>35</v>
      </c>
      <c r="B44" s="608"/>
      <c r="C44" s="615"/>
      <c r="D44" s="910" t="s">
        <v>652</v>
      </c>
      <c r="E44" s="609"/>
      <c r="F44" s="610"/>
      <c r="G44" s="618"/>
      <c r="H44" s="619"/>
      <c r="I44" s="1212"/>
      <c r="J44" s="1213"/>
      <c r="K44" s="1214">
        <f t="shared" si="0"/>
        <v>0</v>
      </c>
      <c r="L44" s="614"/>
    </row>
    <row r="45" spans="1:12" ht="18" customHeight="1" x14ac:dyDescent="0.3">
      <c r="A45" s="597">
        <v>36</v>
      </c>
      <c r="B45" s="608"/>
      <c r="C45" s="615"/>
      <c r="D45" s="377" t="s">
        <v>858</v>
      </c>
      <c r="E45" s="609"/>
      <c r="F45" s="610"/>
      <c r="G45" s="618"/>
      <c r="H45" s="619"/>
      <c r="I45" s="611"/>
      <c r="J45" s="612">
        <f>SUM(J43:J44)</f>
        <v>3000</v>
      </c>
      <c r="K45" s="613">
        <f>SUM(I45:J45)</f>
        <v>3000</v>
      </c>
      <c r="L45" s="614"/>
    </row>
    <row r="46" spans="1:12" ht="22.5" customHeight="1" x14ac:dyDescent="0.35">
      <c r="A46" s="597">
        <v>37</v>
      </c>
      <c r="B46" s="608"/>
      <c r="C46" s="615"/>
      <c r="D46" s="653" t="s">
        <v>626</v>
      </c>
      <c r="E46" s="609"/>
      <c r="F46" s="610"/>
      <c r="G46" s="618"/>
      <c r="H46" s="619" t="s">
        <v>23</v>
      </c>
      <c r="I46" s="611"/>
      <c r="J46" s="612"/>
      <c r="K46" s="613"/>
      <c r="L46" s="614"/>
    </row>
    <row r="47" spans="1:12" ht="20.100000000000001" customHeight="1" x14ac:dyDescent="0.3">
      <c r="A47" s="597">
        <v>38</v>
      </c>
      <c r="B47" s="608"/>
      <c r="C47" s="615">
        <v>67</v>
      </c>
      <c r="D47" s="655" t="s">
        <v>501</v>
      </c>
      <c r="E47" s="609">
        <f>F47+G47+K51+L48</f>
        <v>36855</v>
      </c>
      <c r="F47" s="610"/>
      <c r="G47" s="618">
        <v>36855</v>
      </c>
      <c r="H47" s="619"/>
      <c r="I47" s="611"/>
      <c r="J47" s="612"/>
      <c r="K47" s="613"/>
      <c r="L47" s="614"/>
    </row>
    <row r="48" spans="1:12" ht="18" customHeight="1" x14ac:dyDescent="0.3">
      <c r="A48" s="597">
        <v>39</v>
      </c>
      <c r="B48" s="608"/>
      <c r="C48" s="615"/>
      <c r="D48" s="241" t="s">
        <v>376</v>
      </c>
      <c r="E48" s="609"/>
      <c r="F48" s="610"/>
      <c r="G48" s="618"/>
      <c r="H48" s="619"/>
      <c r="I48" s="611"/>
      <c r="J48" s="1215">
        <v>4145</v>
      </c>
      <c r="K48" s="1216">
        <f t="shared" si="0"/>
        <v>4145</v>
      </c>
      <c r="L48" s="614"/>
    </row>
    <row r="49" spans="1:12" ht="18" customHeight="1" x14ac:dyDescent="0.3">
      <c r="A49" s="597">
        <v>40</v>
      </c>
      <c r="B49" s="608"/>
      <c r="C49" s="615"/>
      <c r="D49" s="377" t="s">
        <v>809</v>
      </c>
      <c r="E49" s="609"/>
      <c r="F49" s="610"/>
      <c r="G49" s="618"/>
      <c r="H49" s="619"/>
      <c r="I49" s="611"/>
      <c r="J49" s="612">
        <v>0</v>
      </c>
      <c r="K49" s="613">
        <f t="shared" si="0"/>
        <v>0</v>
      </c>
      <c r="L49" s="614"/>
    </row>
    <row r="50" spans="1:12" ht="18" customHeight="1" x14ac:dyDescent="0.3">
      <c r="A50" s="597">
        <v>41</v>
      </c>
      <c r="B50" s="608"/>
      <c r="C50" s="615"/>
      <c r="D50" s="910" t="s">
        <v>655</v>
      </c>
      <c r="E50" s="609"/>
      <c r="F50" s="610"/>
      <c r="G50" s="618"/>
      <c r="H50" s="619"/>
      <c r="I50" s="1212"/>
      <c r="J50" s="1213"/>
      <c r="K50" s="1214">
        <f t="shared" si="0"/>
        <v>0</v>
      </c>
      <c r="L50" s="614"/>
    </row>
    <row r="51" spans="1:12" ht="18" customHeight="1" x14ac:dyDescent="0.3">
      <c r="A51" s="597">
        <v>42</v>
      </c>
      <c r="B51" s="608"/>
      <c r="C51" s="615"/>
      <c r="D51" s="377" t="s">
        <v>861</v>
      </c>
      <c r="E51" s="609"/>
      <c r="F51" s="610"/>
      <c r="G51" s="618"/>
      <c r="H51" s="619"/>
      <c r="I51" s="611"/>
      <c r="J51" s="612">
        <f>SUM(J49:J50)</f>
        <v>0</v>
      </c>
      <c r="K51" s="613">
        <f>SUM(I51:J51)</f>
        <v>0</v>
      </c>
      <c r="L51" s="614"/>
    </row>
    <row r="52" spans="1:12" ht="22.5" customHeight="1" x14ac:dyDescent="0.35">
      <c r="A52" s="597">
        <v>43</v>
      </c>
      <c r="B52" s="608"/>
      <c r="C52" s="615"/>
      <c r="D52" s="653" t="s">
        <v>294</v>
      </c>
      <c r="E52" s="609"/>
      <c r="F52" s="610"/>
      <c r="G52" s="618"/>
      <c r="H52" s="619" t="s">
        <v>23</v>
      </c>
      <c r="I52" s="611"/>
      <c r="J52" s="612"/>
      <c r="K52" s="613"/>
      <c r="L52" s="614"/>
    </row>
    <row r="53" spans="1:12" ht="18" customHeight="1" x14ac:dyDescent="0.3">
      <c r="A53" s="597">
        <v>44</v>
      </c>
      <c r="B53" s="608"/>
      <c r="C53" s="615"/>
      <c r="D53" s="654" t="s">
        <v>411</v>
      </c>
      <c r="E53" s="609"/>
      <c r="F53" s="610"/>
      <c r="G53" s="618"/>
      <c r="H53" s="619"/>
      <c r="I53" s="611"/>
      <c r="J53" s="612"/>
      <c r="K53" s="613"/>
      <c r="L53" s="614"/>
    </row>
    <row r="54" spans="1:12" ht="18" customHeight="1" x14ac:dyDescent="0.3">
      <c r="A54" s="597">
        <v>45</v>
      </c>
      <c r="B54" s="608"/>
      <c r="C54" s="615">
        <v>68</v>
      </c>
      <c r="D54" s="656" t="s">
        <v>511</v>
      </c>
      <c r="E54" s="609">
        <f>F54+G54+K58+L55</f>
        <v>3000</v>
      </c>
      <c r="F54" s="610"/>
      <c r="G54" s="618"/>
      <c r="H54" s="619"/>
      <c r="I54" s="611"/>
      <c r="J54" s="612"/>
      <c r="K54" s="613"/>
      <c r="L54" s="614"/>
    </row>
    <row r="55" spans="1:12" ht="18" customHeight="1" x14ac:dyDescent="0.3">
      <c r="A55" s="597">
        <v>46</v>
      </c>
      <c r="B55" s="608"/>
      <c r="C55" s="615"/>
      <c r="D55" s="241" t="s">
        <v>376</v>
      </c>
      <c r="E55" s="609"/>
      <c r="F55" s="610"/>
      <c r="G55" s="618"/>
      <c r="H55" s="619"/>
      <c r="I55" s="611"/>
      <c r="J55" s="1215">
        <v>3000</v>
      </c>
      <c r="K55" s="1216">
        <f t="shared" si="0"/>
        <v>3000</v>
      </c>
      <c r="L55" s="614"/>
    </row>
    <row r="56" spans="1:12" ht="18" customHeight="1" x14ac:dyDescent="0.3">
      <c r="A56" s="597">
        <v>47</v>
      </c>
      <c r="B56" s="608"/>
      <c r="C56" s="615"/>
      <c r="D56" s="377" t="s">
        <v>809</v>
      </c>
      <c r="E56" s="609"/>
      <c r="F56" s="610"/>
      <c r="G56" s="618"/>
      <c r="H56" s="619"/>
      <c r="I56" s="611"/>
      <c r="J56" s="612">
        <v>3000</v>
      </c>
      <c r="K56" s="613">
        <f t="shared" si="0"/>
        <v>3000</v>
      </c>
      <c r="L56" s="617"/>
    </row>
    <row r="57" spans="1:12" ht="18" customHeight="1" x14ac:dyDescent="0.3">
      <c r="A57" s="597">
        <v>48</v>
      </c>
      <c r="B57" s="608"/>
      <c r="C57" s="615"/>
      <c r="D57" s="910" t="s">
        <v>655</v>
      </c>
      <c r="E57" s="609"/>
      <c r="F57" s="610"/>
      <c r="G57" s="618"/>
      <c r="H57" s="619"/>
      <c r="I57" s="1212"/>
      <c r="J57" s="1213"/>
      <c r="K57" s="1214">
        <f t="shared" si="0"/>
        <v>0</v>
      </c>
      <c r="L57" s="617"/>
    </row>
    <row r="58" spans="1:12" ht="18" customHeight="1" x14ac:dyDescent="0.3">
      <c r="A58" s="597">
        <v>49</v>
      </c>
      <c r="B58" s="608"/>
      <c r="C58" s="615"/>
      <c r="D58" s="377" t="s">
        <v>861</v>
      </c>
      <c r="E58" s="609"/>
      <c r="F58" s="610"/>
      <c r="G58" s="618"/>
      <c r="H58" s="619"/>
      <c r="I58" s="611"/>
      <c r="J58" s="612">
        <f>SUM(J56:J57)</f>
        <v>3000</v>
      </c>
      <c r="K58" s="613">
        <f>SUM(I58:J58)</f>
        <v>3000</v>
      </c>
      <c r="L58" s="617"/>
    </row>
    <row r="59" spans="1:12" ht="22.5" customHeight="1" x14ac:dyDescent="0.35">
      <c r="A59" s="597">
        <v>50</v>
      </c>
      <c r="B59" s="608"/>
      <c r="C59" s="585"/>
      <c r="D59" s="657" t="s">
        <v>636</v>
      </c>
      <c r="E59" s="609"/>
      <c r="F59" s="610"/>
      <c r="G59" s="618"/>
      <c r="H59" s="619" t="s">
        <v>23</v>
      </c>
      <c r="I59" s="612"/>
      <c r="J59" s="612"/>
      <c r="K59" s="620"/>
      <c r="L59" s="617"/>
    </row>
    <row r="60" spans="1:12" ht="20.100000000000001" customHeight="1" x14ac:dyDescent="0.3">
      <c r="A60" s="597">
        <v>51</v>
      </c>
      <c r="B60" s="608"/>
      <c r="C60" s="615">
        <v>43</v>
      </c>
      <c r="D60" s="630" t="s">
        <v>413</v>
      </c>
      <c r="E60" s="609">
        <f>F60+G60+K64+L61</f>
        <v>38341</v>
      </c>
      <c r="F60" s="610"/>
      <c r="G60" s="618"/>
      <c r="H60" s="619"/>
      <c r="I60" s="612"/>
      <c r="J60" s="612"/>
      <c r="K60" s="620"/>
      <c r="L60" s="617"/>
    </row>
    <row r="61" spans="1:12" ht="18" customHeight="1" x14ac:dyDescent="0.3">
      <c r="A61" s="597">
        <v>52</v>
      </c>
      <c r="B61" s="608"/>
      <c r="C61" s="585"/>
      <c r="D61" s="621" t="s">
        <v>376</v>
      </c>
      <c r="E61" s="609"/>
      <c r="F61" s="610"/>
      <c r="G61" s="618"/>
      <c r="H61" s="619"/>
      <c r="I61" s="612"/>
      <c r="J61" s="1215">
        <v>38341</v>
      </c>
      <c r="K61" s="1239">
        <f>SUM(I61:J61)</f>
        <v>38341</v>
      </c>
      <c r="L61" s="617"/>
    </row>
    <row r="62" spans="1:12" ht="18" customHeight="1" x14ac:dyDescent="0.3">
      <c r="A62" s="597">
        <v>53</v>
      </c>
      <c r="B62" s="608"/>
      <c r="C62" s="585"/>
      <c r="D62" s="377" t="s">
        <v>809</v>
      </c>
      <c r="E62" s="609"/>
      <c r="F62" s="610"/>
      <c r="G62" s="618"/>
      <c r="H62" s="619"/>
      <c r="I62" s="612"/>
      <c r="J62" s="612">
        <v>38341</v>
      </c>
      <c r="K62" s="620">
        <f>SUM(I62:J62)</f>
        <v>38341</v>
      </c>
      <c r="L62" s="617"/>
    </row>
    <row r="63" spans="1:12" ht="18" customHeight="1" x14ac:dyDescent="0.3">
      <c r="A63" s="597">
        <v>54</v>
      </c>
      <c r="B63" s="608"/>
      <c r="C63" s="585"/>
      <c r="D63" s="910" t="s">
        <v>655</v>
      </c>
      <c r="E63" s="609"/>
      <c r="F63" s="610"/>
      <c r="G63" s="618"/>
      <c r="H63" s="619"/>
      <c r="I63" s="1213"/>
      <c r="J63" s="1213"/>
      <c r="K63" s="623">
        <f>SUM(I63:J63)</f>
        <v>0</v>
      </c>
      <c r="L63" s="617"/>
    </row>
    <row r="64" spans="1:12" ht="18" customHeight="1" x14ac:dyDescent="0.3">
      <c r="A64" s="597">
        <v>55</v>
      </c>
      <c r="B64" s="608"/>
      <c r="C64" s="585"/>
      <c r="D64" s="377" t="s">
        <v>861</v>
      </c>
      <c r="E64" s="609"/>
      <c r="F64" s="610"/>
      <c r="G64" s="618"/>
      <c r="H64" s="619"/>
      <c r="I64" s="612"/>
      <c r="J64" s="612">
        <f>SUM(J62:J63)</f>
        <v>38341</v>
      </c>
      <c r="K64" s="613">
        <f>SUM(I64:J64)</f>
        <v>38341</v>
      </c>
      <c r="L64" s="617"/>
    </row>
    <row r="65" spans="1:12" ht="20.100000000000001" customHeight="1" x14ac:dyDescent="0.3">
      <c r="A65" s="597">
        <v>56</v>
      </c>
      <c r="B65" s="608"/>
      <c r="C65" s="615">
        <v>48</v>
      </c>
      <c r="D65" s="630" t="s">
        <v>412</v>
      </c>
      <c r="E65" s="609">
        <f>F65+G65+K69+L66</f>
        <v>8682</v>
      </c>
      <c r="F65" s="610"/>
      <c r="G65" s="618"/>
      <c r="H65" s="619" t="s">
        <v>23</v>
      </c>
      <c r="I65" s="612"/>
      <c r="J65" s="612"/>
      <c r="K65" s="620"/>
      <c r="L65" s="617"/>
    </row>
    <row r="66" spans="1:12" ht="18" customHeight="1" x14ac:dyDescent="0.3">
      <c r="A66" s="597">
        <v>57</v>
      </c>
      <c r="B66" s="608"/>
      <c r="C66" s="585"/>
      <c r="D66" s="581" t="s">
        <v>376</v>
      </c>
      <c r="E66" s="609"/>
      <c r="F66" s="610"/>
      <c r="G66" s="618"/>
      <c r="H66" s="619"/>
      <c r="I66" s="612"/>
      <c r="J66" s="1215">
        <v>8800</v>
      </c>
      <c r="K66" s="1239">
        <f>SUM(I66:J66)</f>
        <v>8800</v>
      </c>
      <c r="L66" s="617"/>
    </row>
    <row r="67" spans="1:12" ht="18" customHeight="1" x14ac:dyDescent="0.3">
      <c r="A67" s="597">
        <v>58</v>
      </c>
      <c r="B67" s="608"/>
      <c r="C67" s="585"/>
      <c r="D67" s="377" t="s">
        <v>809</v>
      </c>
      <c r="E67" s="609"/>
      <c r="F67" s="610"/>
      <c r="G67" s="618"/>
      <c r="H67" s="619"/>
      <c r="I67" s="611"/>
      <c r="J67" s="612">
        <v>8682</v>
      </c>
      <c r="K67" s="620">
        <f>SUM(I67:J67)</f>
        <v>8682</v>
      </c>
      <c r="L67" s="617"/>
    </row>
    <row r="68" spans="1:12" ht="18" customHeight="1" x14ac:dyDescent="0.3">
      <c r="A68" s="597">
        <v>59</v>
      </c>
      <c r="B68" s="608"/>
      <c r="C68" s="585"/>
      <c r="D68" s="910" t="s">
        <v>655</v>
      </c>
      <c r="E68" s="609"/>
      <c r="F68" s="610"/>
      <c r="G68" s="618"/>
      <c r="H68" s="619"/>
      <c r="I68" s="1212"/>
      <c r="J68" s="1213"/>
      <c r="K68" s="623">
        <f>SUM(I68:J68)</f>
        <v>0</v>
      </c>
      <c r="L68" s="617"/>
    </row>
    <row r="69" spans="1:12" ht="18" customHeight="1" x14ac:dyDescent="0.3">
      <c r="A69" s="597">
        <v>60</v>
      </c>
      <c r="B69" s="608"/>
      <c r="C69" s="585"/>
      <c r="D69" s="377" t="s">
        <v>861</v>
      </c>
      <c r="E69" s="609"/>
      <c r="F69" s="610"/>
      <c r="G69" s="618"/>
      <c r="H69" s="619"/>
      <c r="I69" s="611"/>
      <c r="J69" s="612">
        <f>SUM(J67:J68)</f>
        <v>8682</v>
      </c>
      <c r="K69" s="613">
        <f>SUM(I69:J69)</f>
        <v>8682</v>
      </c>
      <c r="L69" s="617"/>
    </row>
    <row r="70" spans="1:12" ht="34.5" customHeight="1" x14ac:dyDescent="0.3">
      <c r="A70" s="597">
        <v>61</v>
      </c>
      <c r="B70" s="633"/>
      <c r="C70" s="1293">
        <v>79</v>
      </c>
      <c r="D70" s="630" t="s">
        <v>682</v>
      </c>
      <c r="E70" s="609">
        <f>F70+G70+K73</f>
        <v>438</v>
      </c>
      <c r="F70" s="610"/>
      <c r="G70" s="1207"/>
      <c r="H70" s="1208" t="s">
        <v>23</v>
      </c>
      <c r="I70" s="1209"/>
      <c r="J70" s="1210"/>
      <c r="K70" s="634"/>
      <c r="L70" s="607"/>
    </row>
    <row r="71" spans="1:12" ht="18" customHeight="1" x14ac:dyDescent="0.3">
      <c r="A71" s="597">
        <v>62</v>
      </c>
      <c r="B71" s="633"/>
      <c r="C71" s="1293"/>
      <c r="D71" s="377" t="s">
        <v>809</v>
      </c>
      <c r="E71" s="609"/>
      <c r="F71" s="610"/>
      <c r="G71" s="1207"/>
      <c r="H71" s="1208"/>
      <c r="I71" s="1209"/>
      <c r="J71" s="1210">
        <v>438</v>
      </c>
      <c r="K71" s="620">
        <f>SUM(I71:J71)</f>
        <v>438</v>
      </c>
      <c r="L71" s="607"/>
    </row>
    <row r="72" spans="1:12" ht="20.100000000000001" customHeight="1" x14ac:dyDescent="0.3">
      <c r="A72" s="597">
        <v>63</v>
      </c>
      <c r="B72" s="633"/>
      <c r="C72" s="1206"/>
      <c r="D72" s="910" t="s">
        <v>655</v>
      </c>
      <c r="E72" s="609"/>
      <c r="F72" s="610"/>
      <c r="G72" s="1207"/>
      <c r="H72" s="1208"/>
      <c r="I72" s="1209"/>
      <c r="J72" s="1241"/>
      <c r="K72" s="1214">
        <f t="shared" ref="K72" si="1">SUM(I72:J72)</f>
        <v>0</v>
      </c>
      <c r="L72" s="607"/>
    </row>
    <row r="73" spans="1:12" ht="20.100000000000001" customHeight="1" x14ac:dyDescent="0.3">
      <c r="A73" s="597">
        <v>64</v>
      </c>
      <c r="B73" s="633"/>
      <c r="C73" s="1206"/>
      <c r="D73" s="377" t="s">
        <v>861</v>
      </c>
      <c r="E73" s="609"/>
      <c r="F73" s="610"/>
      <c r="G73" s="1207"/>
      <c r="H73" s="1208"/>
      <c r="I73" s="1209"/>
      <c r="J73" s="1210">
        <f>SUM(J71:J72)</f>
        <v>438</v>
      </c>
      <c r="K73" s="613">
        <f>SUM(I73:J73)</f>
        <v>438</v>
      </c>
      <c r="L73" s="607"/>
    </row>
    <row r="74" spans="1:12" ht="22.5" customHeight="1" x14ac:dyDescent="0.35">
      <c r="A74" s="597">
        <v>65</v>
      </c>
      <c r="B74" s="608"/>
      <c r="C74" s="615"/>
      <c r="D74" s="658" t="s">
        <v>289</v>
      </c>
      <c r="E74" s="600"/>
      <c r="F74" s="601"/>
      <c r="G74" s="618"/>
      <c r="H74" s="619" t="s">
        <v>23</v>
      </c>
      <c r="I74" s="611"/>
      <c r="J74" s="612"/>
      <c r="K74" s="613"/>
      <c r="L74" s="614"/>
    </row>
    <row r="75" spans="1:12" ht="18" customHeight="1" x14ac:dyDescent="0.3">
      <c r="A75" s="597">
        <v>66</v>
      </c>
      <c r="B75" s="608"/>
      <c r="C75" s="615">
        <v>70</v>
      </c>
      <c r="D75" s="630" t="s">
        <v>414</v>
      </c>
      <c r="E75" s="609"/>
      <c r="F75" s="610"/>
      <c r="G75" s="618"/>
      <c r="H75" s="619"/>
      <c r="I75" s="611"/>
      <c r="J75" s="612"/>
      <c r="K75" s="613"/>
      <c r="L75" s="614"/>
    </row>
    <row r="76" spans="1:12" ht="18" customHeight="1" x14ac:dyDescent="0.3">
      <c r="A76" s="597">
        <v>67</v>
      </c>
      <c r="B76" s="608"/>
      <c r="C76" s="615"/>
      <c r="D76" s="630" t="s">
        <v>415</v>
      </c>
      <c r="E76" s="609">
        <f>F76+G76+K80+L77</f>
        <v>26000</v>
      </c>
      <c r="F76" s="610"/>
      <c r="G76" s="618"/>
      <c r="H76" s="619"/>
      <c r="I76" s="611"/>
      <c r="J76" s="612"/>
      <c r="K76" s="620"/>
      <c r="L76" s="614"/>
    </row>
    <row r="77" spans="1:12" ht="18" customHeight="1" x14ac:dyDescent="0.3">
      <c r="A77" s="597">
        <v>68</v>
      </c>
      <c r="B77" s="608"/>
      <c r="C77" s="615"/>
      <c r="D77" s="581" t="s">
        <v>376</v>
      </c>
      <c r="E77" s="609"/>
      <c r="F77" s="610"/>
      <c r="G77" s="618"/>
      <c r="H77" s="619"/>
      <c r="I77" s="611"/>
      <c r="J77" s="1215">
        <v>26000</v>
      </c>
      <c r="K77" s="1239">
        <f>SUM(I77:J77)</f>
        <v>26000</v>
      </c>
      <c r="L77" s="614"/>
    </row>
    <row r="78" spans="1:12" ht="18" customHeight="1" x14ac:dyDescent="0.3">
      <c r="A78" s="597">
        <v>69</v>
      </c>
      <c r="B78" s="608"/>
      <c r="C78" s="615"/>
      <c r="D78" s="377" t="s">
        <v>809</v>
      </c>
      <c r="E78" s="609"/>
      <c r="F78" s="610"/>
      <c r="G78" s="618"/>
      <c r="H78" s="619"/>
      <c r="I78" s="611"/>
      <c r="J78" s="612">
        <v>26000</v>
      </c>
      <c r="K78" s="620">
        <f>SUM(I78:J78)</f>
        <v>26000</v>
      </c>
      <c r="L78" s="614"/>
    </row>
    <row r="79" spans="1:12" ht="18" customHeight="1" x14ac:dyDescent="0.3">
      <c r="A79" s="597">
        <v>70</v>
      </c>
      <c r="B79" s="608"/>
      <c r="C79" s="615"/>
      <c r="D79" s="910" t="s">
        <v>655</v>
      </c>
      <c r="E79" s="609"/>
      <c r="F79" s="610"/>
      <c r="G79" s="618"/>
      <c r="H79" s="619"/>
      <c r="I79" s="1212"/>
      <c r="J79" s="1213"/>
      <c r="K79" s="623">
        <f>SUM(I79:J79)</f>
        <v>0</v>
      </c>
      <c r="L79" s="614"/>
    </row>
    <row r="80" spans="1:12" ht="18" customHeight="1" x14ac:dyDescent="0.3">
      <c r="A80" s="597">
        <v>71</v>
      </c>
      <c r="B80" s="608"/>
      <c r="C80" s="615"/>
      <c r="D80" s="377" t="s">
        <v>861</v>
      </c>
      <c r="E80" s="609"/>
      <c r="F80" s="610"/>
      <c r="G80" s="618"/>
      <c r="H80" s="619"/>
      <c r="I80" s="611"/>
      <c r="J80" s="612">
        <f>SUM(J78:J79)</f>
        <v>26000</v>
      </c>
      <c r="K80" s="613">
        <f>SUM(I80:J80)</f>
        <v>26000</v>
      </c>
      <c r="L80" s="614"/>
    </row>
    <row r="81" spans="1:12" ht="22.5" customHeight="1" x14ac:dyDescent="0.35">
      <c r="A81" s="597">
        <v>72</v>
      </c>
      <c r="B81" s="608"/>
      <c r="C81" s="615"/>
      <c r="D81" s="653" t="s">
        <v>30</v>
      </c>
      <c r="E81" s="609"/>
      <c r="F81" s="610"/>
      <c r="G81" s="618"/>
      <c r="H81" s="619" t="s">
        <v>23</v>
      </c>
      <c r="I81" s="611"/>
      <c r="J81" s="612"/>
      <c r="K81" s="613"/>
      <c r="L81" s="614"/>
    </row>
    <row r="82" spans="1:12" ht="18" customHeight="1" x14ac:dyDescent="0.3">
      <c r="A82" s="597">
        <v>73</v>
      </c>
      <c r="B82" s="608"/>
      <c r="C82" s="615">
        <v>75</v>
      </c>
      <c r="D82" s="630" t="s">
        <v>526</v>
      </c>
      <c r="E82" s="609">
        <f>F82+G82+K86+L83</f>
        <v>3500</v>
      </c>
      <c r="F82" s="610"/>
      <c r="G82" s="618"/>
      <c r="H82" s="619"/>
      <c r="I82" s="611"/>
      <c r="J82" s="612"/>
      <c r="K82" s="613"/>
      <c r="L82" s="614"/>
    </row>
    <row r="83" spans="1:12" ht="18" customHeight="1" x14ac:dyDescent="0.3">
      <c r="A83" s="597">
        <v>74</v>
      </c>
      <c r="B83" s="608"/>
      <c r="C83" s="615"/>
      <c r="D83" s="241" t="s">
        <v>376</v>
      </c>
      <c r="E83" s="609"/>
      <c r="F83" s="610"/>
      <c r="G83" s="618"/>
      <c r="H83" s="619"/>
      <c r="I83" s="611"/>
      <c r="J83" s="1215">
        <v>3500</v>
      </c>
      <c r="K83" s="1216">
        <f t="shared" si="0"/>
        <v>3500</v>
      </c>
      <c r="L83" s="614"/>
    </row>
    <row r="84" spans="1:12" ht="18" customHeight="1" x14ac:dyDescent="0.3">
      <c r="A84" s="597">
        <v>75</v>
      </c>
      <c r="B84" s="608"/>
      <c r="C84" s="615"/>
      <c r="D84" s="377" t="s">
        <v>809</v>
      </c>
      <c r="E84" s="609"/>
      <c r="F84" s="610"/>
      <c r="G84" s="618"/>
      <c r="H84" s="619"/>
      <c r="I84" s="611"/>
      <c r="J84" s="612">
        <v>3500</v>
      </c>
      <c r="K84" s="613">
        <f t="shared" si="0"/>
        <v>3500</v>
      </c>
      <c r="L84" s="614"/>
    </row>
    <row r="85" spans="1:12" ht="18" customHeight="1" x14ac:dyDescent="0.3">
      <c r="A85" s="597">
        <v>76</v>
      </c>
      <c r="B85" s="608"/>
      <c r="C85" s="615"/>
      <c r="D85" s="910" t="s">
        <v>655</v>
      </c>
      <c r="E85" s="609"/>
      <c r="F85" s="610"/>
      <c r="G85" s="618"/>
      <c r="H85" s="619"/>
      <c r="I85" s="1212"/>
      <c r="J85" s="1213"/>
      <c r="K85" s="1214">
        <f t="shared" si="0"/>
        <v>0</v>
      </c>
      <c r="L85" s="614"/>
    </row>
    <row r="86" spans="1:12" ht="18" customHeight="1" x14ac:dyDescent="0.3">
      <c r="A86" s="597">
        <v>77</v>
      </c>
      <c r="B86" s="608"/>
      <c r="C86" s="615"/>
      <c r="D86" s="377" t="s">
        <v>861</v>
      </c>
      <c r="E86" s="609"/>
      <c r="F86" s="610"/>
      <c r="G86" s="618"/>
      <c r="H86" s="619"/>
      <c r="I86" s="611"/>
      <c r="J86" s="612">
        <f>SUM(J84:J85)</f>
        <v>3500</v>
      </c>
      <c r="K86" s="613">
        <f>SUM(I86:J86)</f>
        <v>3500</v>
      </c>
      <c r="L86" s="614"/>
    </row>
    <row r="87" spans="1:12" ht="22.5" customHeight="1" x14ac:dyDescent="0.35">
      <c r="A87" s="597">
        <v>78</v>
      </c>
      <c r="B87" s="608"/>
      <c r="C87" s="615">
        <v>78</v>
      </c>
      <c r="D87" s="689" t="s">
        <v>527</v>
      </c>
      <c r="E87" s="609">
        <f>F87+G87+K91+L88</f>
        <v>270000</v>
      </c>
      <c r="F87" s="610"/>
      <c r="G87" s="618">
        <v>7430</v>
      </c>
      <c r="H87" s="619" t="s">
        <v>23</v>
      </c>
      <c r="I87" s="611"/>
      <c r="J87" s="612"/>
      <c r="K87" s="613"/>
      <c r="L87" s="614"/>
    </row>
    <row r="88" spans="1:12" ht="18" customHeight="1" x14ac:dyDescent="0.3">
      <c r="A88" s="597">
        <v>79</v>
      </c>
      <c r="B88" s="608"/>
      <c r="C88" s="615"/>
      <c r="D88" s="241" t="s">
        <v>376</v>
      </c>
      <c r="E88" s="609"/>
      <c r="F88" s="610"/>
      <c r="G88" s="618"/>
      <c r="H88" s="619"/>
      <c r="I88" s="611"/>
      <c r="J88" s="1215">
        <v>262570</v>
      </c>
      <c r="K88" s="1216">
        <f t="shared" si="0"/>
        <v>262570</v>
      </c>
      <c r="L88" s="614"/>
    </row>
    <row r="89" spans="1:12" ht="18" customHeight="1" x14ac:dyDescent="0.3">
      <c r="A89" s="597">
        <v>80</v>
      </c>
      <c r="B89" s="633"/>
      <c r="C89" s="1206"/>
      <c r="D89" s="377" t="s">
        <v>809</v>
      </c>
      <c r="E89" s="609"/>
      <c r="F89" s="610"/>
      <c r="G89" s="1207"/>
      <c r="H89" s="1208"/>
      <c r="I89" s="1209"/>
      <c r="J89" s="1210">
        <v>262570</v>
      </c>
      <c r="K89" s="613">
        <f t="shared" si="0"/>
        <v>262570</v>
      </c>
      <c r="L89" s="607"/>
    </row>
    <row r="90" spans="1:12" ht="18" customHeight="1" x14ac:dyDescent="0.3">
      <c r="A90" s="597">
        <v>81</v>
      </c>
      <c r="B90" s="633"/>
      <c r="C90" s="1206"/>
      <c r="D90" s="910" t="s">
        <v>655</v>
      </c>
      <c r="E90" s="609"/>
      <c r="F90" s="610"/>
      <c r="G90" s="1207"/>
      <c r="H90" s="1208"/>
      <c r="I90" s="1240"/>
      <c r="J90" s="1241"/>
      <c r="K90" s="1214">
        <f t="shared" si="0"/>
        <v>0</v>
      </c>
      <c r="L90" s="607"/>
    </row>
    <row r="91" spans="1:12" ht="18" customHeight="1" x14ac:dyDescent="0.3">
      <c r="A91" s="597">
        <v>82</v>
      </c>
      <c r="B91" s="633"/>
      <c r="C91" s="1206"/>
      <c r="D91" s="377" t="s">
        <v>861</v>
      </c>
      <c r="E91" s="1326"/>
      <c r="F91" s="1327"/>
      <c r="G91" s="1207"/>
      <c r="H91" s="1208"/>
      <c r="I91" s="1209"/>
      <c r="J91" s="1210">
        <f>SUM(J89:J90)</f>
        <v>262570</v>
      </c>
      <c r="K91" s="613">
        <f>SUM(I91:J91)</f>
        <v>262570</v>
      </c>
      <c r="L91" s="607"/>
    </row>
    <row r="92" spans="1:12" ht="56.25" customHeight="1" x14ac:dyDescent="0.35">
      <c r="A92" s="597">
        <v>83</v>
      </c>
      <c r="B92" s="633"/>
      <c r="C92" s="1293">
        <v>81</v>
      </c>
      <c r="D92" s="689" t="s">
        <v>817</v>
      </c>
      <c r="E92" s="1430">
        <f>F92+G92+K95</f>
        <v>3707</v>
      </c>
      <c r="F92" s="1327"/>
      <c r="G92" s="1207"/>
      <c r="H92" s="1208" t="s">
        <v>23</v>
      </c>
      <c r="I92" s="1209"/>
      <c r="J92" s="1210"/>
      <c r="K92" s="634"/>
      <c r="L92" s="607"/>
    </row>
    <row r="93" spans="1:12" ht="18" customHeight="1" x14ac:dyDescent="0.3">
      <c r="A93" s="597">
        <v>84</v>
      </c>
      <c r="B93" s="633"/>
      <c r="C93" s="1293"/>
      <c r="D93" s="377" t="s">
        <v>809</v>
      </c>
      <c r="E93" s="1430"/>
      <c r="F93" s="1327"/>
      <c r="G93" s="1207"/>
      <c r="H93" s="1208"/>
      <c r="I93" s="1209"/>
      <c r="J93" s="1210">
        <v>3707</v>
      </c>
      <c r="K93" s="613">
        <f t="shared" ref="K93" si="2">SUM(I93:J93)</f>
        <v>3707</v>
      </c>
      <c r="L93" s="607"/>
    </row>
    <row r="94" spans="1:12" ht="18" customHeight="1" x14ac:dyDescent="0.3">
      <c r="A94" s="597">
        <v>85</v>
      </c>
      <c r="B94" s="633"/>
      <c r="C94" s="1206"/>
      <c r="D94" s="910" t="s">
        <v>655</v>
      </c>
      <c r="E94" s="609"/>
      <c r="F94" s="610"/>
      <c r="G94" s="1207"/>
      <c r="H94" s="1208"/>
      <c r="I94" s="1209"/>
      <c r="J94" s="1210"/>
      <c r="K94" s="1214">
        <f t="shared" ref="K94" si="3">SUM(I94:J94)</f>
        <v>0</v>
      </c>
      <c r="L94" s="607"/>
    </row>
    <row r="95" spans="1:12" ht="18" customHeight="1" thickBot="1" x14ac:dyDescent="0.35">
      <c r="A95" s="597">
        <v>86</v>
      </c>
      <c r="B95" s="633"/>
      <c r="C95" s="1206"/>
      <c r="D95" s="1146" t="s">
        <v>861</v>
      </c>
      <c r="E95" s="609"/>
      <c r="F95" s="610"/>
      <c r="G95" s="1207"/>
      <c r="H95" s="1208"/>
      <c r="I95" s="1209"/>
      <c r="J95" s="1210">
        <f>SUM(J93:J94)</f>
        <v>3707</v>
      </c>
      <c r="K95" s="613">
        <f>SUM(I95:J95)</f>
        <v>3707</v>
      </c>
      <c r="L95" s="607"/>
    </row>
    <row r="96" spans="1:12" ht="25.15" customHeight="1" thickTop="1" x14ac:dyDescent="0.3">
      <c r="A96" s="597">
        <v>87</v>
      </c>
      <c r="B96" s="659"/>
      <c r="C96" s="660"/>
      <c r="D96" s="1981" t="s">
        <v>13</v>
      </c>
      <c r="E96" s="1981"/>
      <c r="F96" s="1981"/>
      <c r="G96" s="1982"/>
      <c r="H96" s="661"/>
      <c r="I96" s="675"/>
      <c r="J96" s="676"/>
      <c r="K96" s="662"/>
      <c r="L96" s="677"/>
    </row>
    <row r="97" spans="1:12" ht="20.100000000000001" customHeight="1" x14ac:dyDescent="0.3">
      <c r="A97" s="597">
        <v>88</v>
      </c>
      <c r="B97" s="1217"/>
      <c r="C97" s="1218"/>
      <c r="D97" s="241" t="s">
        <v>245</v>
      </c>
      <c r="E97" s="1144"/>
      <c r="F97" s="1144"/>
      <c r="G97" s="1220"/>
      <c r="H97" s="1211"/>
      <c r="I97" s="1242">
        <f>I88+I83+I77+I66+I61+I55+I48+I42+I37+I32+I24+I17+I12</f>
        <v>0</v>
      </c>
      <c r="J97" s="1242">
        <f>J88+J83+J77+J66+J61+J55+J48+J42+J37+J32+J24+J17+J12</f>
        <v>588483</v>
      </c>
      <c r="K97" s="1243">
        <f>SUM(I97:J97)</f>
        <v>588483</v>
      </c>
      <c r="L97" s="1221"/>
    </row>
    <row r="98" spans="1:12" ht="20.100000000000001" customHeight="1" x14ac:dyDescent="0.3">
      <c r="A98" s="597">
        <v>89</v>
      </c>
      <c r="B98" s="1217"/>
      <c r="C98" s="1218"/>
      <c r="D98" s="377" t="s">
        <v>810</v>
      </c>
      <c r="E98" s="1144"/>
      <c r="F98" s="1144"/>
      <c r="G98" s="1220"/>
      <c r="H98" s="665"/>
      <c r="I98" s="666">
        <f>I89+I84+I78+I67+I62+I56+I49+I43+I38+I33+I25+I18+I13+I71+I93</f>
        <v>0</v>
      </c>
      <c r="J98" s="666">
        <f>J89+J84+J78+J67+J62+J56+J49+J43+J38+J33+J25+J18+J13+J71+J93</f>
        <v>588365</v>
      </c>
      <c r="K98" s="669">
        <f>SUM(I98:J98)</f>
        <v>588365</v>
      </c>
      <c r="L98" s="667"/>
    </row>
    <row r="99" spans="1:12" ht="20.100000000000001" customHeight="1" x14ac:dyDescent="0.3">
      <c r="A99" s="597">
        <v>90</v>
      </c>
      <c r="B99" s="663"/>
      <c r="C99" s="664"/>
      <c r="D99" s="1219" t="s">
        <v>652</v>
      </c>
      <c r="E99" s="581"/>
      <c r="F99" s="581"/>
      <c r="G99" s="1225"/>
      <c r="H99" s="665"/>
      <c r="I99" s="1213">
        <f>I90+I85+I79+I68+I63+I57+I50+I44+I39+I34+I26+I19+I14+I72+I94</f>
        <v>0</v>
      </c>
      <c r="J99" s="1213">
        <f>J90+J85+J79+J68+J63+J57+J50+J44+J39+J34+J26+J19+J14+J72+J94</f>
        <v>-20</v>
      </c>
      <c r="K99" s="1214">
        <f>SUM(I99:J99)</f>
        <v>-20</v>
      </c>
      <c r="L99" s="667"/>
    </row>
    <row r="100" spans="1:12" ht="20.100000000000001" customHeight="1" thickBot="1" x14ac:dyDescent="0.35">
      <c r="A100" s="597">
        <v>91</v>
      </c>
      <c r="B100" s="678"/>
      <c r="C100" s="679"/>
      <c r="D100" s="911" t="s">
        <v>858</v>
      </c>
      <c r="E100" s="1226"/>
      <c r="F100" s="681"/>
      <c r="G100" s="680"/>
      <c r="H100" s="1227"/>
      <c r="I100" s="1228">
        <f>SUM(I98:I99)</f>
        <v>0</v>
      </c>
      <c r="J100" s="1228">
        <f>SUM(J98:J99)</f>
        <v>588345</v>
      </c>
      <c r="K100" s="1229">
        <f>SUM(I100:J100)</f>
        <v>588345</v>
      </c>
      <c r="L100" s="1230"/>
    </row>
    <row r="101" spans="1:12" ht="20.100000000000001" customHeight="1" thickTop="1" x14ac:dyDescent="0.3">
      <c r="A101" s="597">
        <v>92</v>
      </c>
      <c r="B101" s="673"/>
      <c r="C101" s="674"/>
      <c r="D101" s="2011" t="s">
        <v>92</v>
      </c>
      <c r="E101" s="2012"/>
      <c r="F101" s="2012"/>
      <c r="G101" s="2013"/>
      <c r="H101" s="1222"/>
      <c r="I101" s="1223"/>
      <c r="J101" s="1223"/>
      <c r="K101" s="671"/>
      <c r="L101" s="1224"/>
    </row>
    <row r="102" spans="1:12" ht="20.100000000000001" customHeight="1" x14ac:dyDescent="0.3">
      <c r="A102" s="597">
        <v>93</v>
      </c>
      <c r="B102" s="663"/>
      <c r="C102" s="664"/>
      <c r="D102" s="1148" t="s">
        <v>245</v>
      </c>
      <c r="E102" s="1193"/>
      <c r="F102" s="1193"/>
      <c r="G102" s="1191"/>
      <c r="H102" s="665"/>
      <c r="I102" s="612">
        <f>I83+I77+I66+I61+I55+I48+I24+I17</f>
        <v>0</v>
      </c>
      <c r="J102" s="612">
        <f>J83+J77+J66+J61+J55+J48+J24+J17+J88</f>
        <v>384764</v>
      </c>
      <c r="K102" s="669">
        <f>SUM(I102:J102)</f>
        <v>384764</v>
      </c>
      <c r="L102" s="667"/>
    </row>
    <row r="103" spans="1:12" ht="20.100000000000001" customHeight="1" x14ac:dyDescent="0.3">
      <c r="A103" s="597">
        <v>94</v>
      </c>
      <c r="B103" s="663"/>
      <c r="C103" s="664"/>
      <c r="D103" s="377" t="s">
        <v>810</v>
      </c>
      <c r="E103" s="1193"/>
      <c r="F103" s="1193"/>
      <c r="G103" s="1191"/>
      <c r="H103" s="665"/>
      <c r="I103" s="612">
        <f>I84+I78+I67+I62+I56+I49+I25+I18+I89+I71+I93</f>
        <v>0</v>
      </c>
      <c r="J103" s="612">
        <f>J84+J78+J67+J62+J56+J49+J25+J18+J89+J71+J93</f>
        <v>384646</v>
      </c>
      <c r="K103" s="669">
        <f>SUM(I103:J103)</f>
        <v>384646</v>
      </c>
      <c r="L103" s="667"/>
    </row>
    <row r="104" spans="1:12" ht="20.100000000000001" customHeight="1" x14ac:dyDescent="0.3">
      <c r="A104" s="597">
        <v>95</v>
      </c>
      <c r="B104" s="663"/>
      <c r="C104" s="664"/>
      <c r="D104" s="910" t="s">
        <v>652</v>
      </c>
      <c r="E104" s="1183"/>
      <c r="F104" s="1183"/>
      <c r="G104" s="1120"/>
      <c r="H104" s="665"/>
      <c r="I104" s="1213">
        <f>I85+I79+I68+I63+I57+I50+I26+I19+I72+I94</f>
        <v>0</v>
      </c>
      <c r="J104" s="1213">
        <f>J85+J79+J68+J63+J57+J50+J26+J19+J72+J94</f>
        <v>-20</v>
      </c>
      <c r="K104" s="1214">
        <f t="shared" ref="K104" si="4">SUM(I104:J104)</f>
        <v>-20</v>
      </c>
      <c r="L104" s="667"/>
    </row>
    <row r="105" spans="1:12" ht="20.100000000000001" customHeight="1" x14ac:dyDescent="0.3">
      <c r="A105" s="597">
        <v>96</v>
      </c>
      <c r="B105" s="663"/>
      <c r="C105" s="664"/>
      <c r="D105" s="1146" t="s">
        <v>858</v>
      </c>
      <c r="E105" s="1183"/>
      <c r="F105" s="1183"/>
      <c r="G105" s="1120"/>
      <c r="H105" s="665"/>
      <c r="I105" s="612">
        <f>SUM(I103:I104)</f>
        <v>0</v>
      </c>
      <c r="J105" s="612">
        <f>SUM(J103:J104)</f>
        <v>384626</v>
      </c>
      <c r="K105" s="669">
        <f>SUM(I105:J105)</f>
        <v>384626</v>
      </c>
      <c r="L105" s="667"/>
    </row>
    <row r="106" spans="1:12" ht="20.100000000000001" customHeight="1" x14ac:dyDescent="0.3">
      <c r="A106" s="597">
        <v>97</v>
      </c>
      <c r="B106" s="663"/>
      <c r="C106" s="664"/>
      <c r="D106" s="1231" t="s">
        <v>93</v>
      </c>
      <c r="E106" s="1193"/>
      <c r="F106" s="1193"/>
      <c r="G106" s="1187"/>
      <c r="H106" s="665"/>
      <c r="I106" s="612"/>
      <c r="J106" s="612"/>
      <c r="K106" s="669"/>
      <c r="L106" s="667"/>
    </row>
    <row r="107" spans="1:12" ht="20.100000000000001" customHeight="1" x14ac:dyDescent="0.3">
      <c r="A107" s="597">
        <v>98</v>
      </c>
      <c r="B107" s="1217"/>
      <c r="C107" s="1218"/>
      <c r="D107" s="1188" t="s">
        <v>245</v>
      </c>
      <c r="E107" s="1232"/>
      <c r="F107" s="1232"/>
      <c r="G107" s="1189"/>
      <c r="H107" s="1233"/>
      <c r="I107" s="1234">
        <f>I42+I37+I12</f>
        <v>0</v>
      </c>
      <c r="J107" s="1234">
        <f>J42+J37+J12+J32</f>
        <v>203719</v>
      </c>
      <c r="K107" s="622">
        <f>SUM(I107:J107)</f>
        <v>203719</v>
      </c>
      <c r="L107" s="1235"/>
    </row>
    <row r="108" spans="1:12" ht="20.100000000000001" customHeight="1" x14ac:dyDescent="0.3">
      <c r="A108" s="597">
        <v>99</v>
      </c>
      <c r="B108" s="1217"/>
      <c r="C108" s="1218"/>
      <c r="D108" s="377" t="s">
        <v>810</v>
      </c>
      <c r="E108" s="1232"/>
      <c r="F108" s="1232"/>
      <c r="G108" s="1189"/>
      <c r="H108" s="1429"/>
      <c r="I108" s="1234">
        <f>I43+I38+I13+I33</f>
        <v>0</v>
      </c>
      <c r="J108" s="1234">
        <f>J43+J38+J13+J33</f>
        <v>203719</v>
      </c>
      <c r="K108" s="622">
        <f>SUM(I108:J108)</f>
        <v>203719</v>
      </c>
      <c r="L108" s="1235"/>
    </row>
    <row r="109" spans="1:12" ht="20.100000000000001" customHeight="1" x14ac:dyDescent="0.3">
      <c r="A109" s="597">
        <v>100</v>
      </c>
      <c r="B109" s="663"/>
      <c r="C109" s="664"/>
      <c r="D109" s="1079" t="s">
        <v>652</v>
      </c>
      <c r="E109" s="1183"/>
      <c r="F109" s="1183"/>
      <c r="G109" s="1185"/>
      <c r="H109" s="1236"/>
      <c r="I109" s="1244">
        <f>I44+I39+I14+I34</f>
        <v>0</v>
      </c>
      <c r="J109" s="1244">
        <f>J44+J39+J14+J34</f>
        <v>0</v>
      </c>
      <c r="K109" s="1214">
        <f t="shared" ref="K109" si="5">SUM(I109:J109)</f>
        <v>0</v>
      </c>
      <c r="L109" s="667"/>
    </row>
    <row r="110" spans="1:12" ht="20.100000000000001" customHeight="1" thickBot="1" x14ac:dyDescent="0.35">
      <c r="A110" s="597">
        <v>101</v>
      </c>
      <c r="B110" s="631"/>
      <c r="C110" s="632"/>
      <c r="D110" s="926" t="s">
        <v>858</v>
      </c>
      <c r="E110" s="1201"/>
      <c r="F110" s="1201"/>
      <c r="G110" s="1238"/>
      <c r="H110" s="1237"/>
      <c r="I110" s="672">
        <f>SUM(I107:I109)</f>
        <v>0</v>
      </c>
      <c r="J110" s="672">
        <f>SUM(J108:J109)</f>
        <v>203719</v>
      </c>
      <c r="K110" s="670">
        <f>SUM(I110:J110)</f>
        <v>203719</v>
      </c>
      <c r="L110" s="668"/>
    </row>
    <row r="111" spans="1:12" ht="18" customHeight="1" x14ac:dyDescent="0.3">
      <c r="A111" s="597"/>
      <c r="B111" s="625" t="s">
        <v>25</v>
      </c>
      <c r="C111" s="625"/>
      <c r="D111" s="625"/>
      <c r="E111" s="626"/>
      <c r="F111" s="627"/>
      <c r="G111" s="626"/>
      <c r="H111" s="628"/>
      <c r="I111" s="626"/>
      <c r="J111" s="626"/>
      <c r="K111" s="626"/>
    </row>
    <row r="112" spans="1:12" ht="18" customHeight="1" x14ac:dyDescent="0.3">
      <c r="A112" s="597"/>
      <c r="B112" s="625" t="s">
        <v>26</v>
      </c>
      <c r="C112" s="625"/>
      <c r="D112" s="625"/>
      <c r="E112" s="629"/>
      <c r="F112" s="627"/>
      <c r="G112" s="626"/>
      <c r="H112" s="628"/>
      <c r="I112" s="626"/>
      <c r="J112" s="626"/>
      <c r="K112" s="626"/>
    </row>
    <row r="113" spans="1:252" ht="18" customHeight="1" x14ac:dyDescent="0.3">
      <c r="A113" s="597"/>
      <c r="B113" s="625" t="s">
        <v>27</v>
      </c>
      <c r="C113" s="625"/>
      <c r="D113" s="625"/>
      <c r="E113" s="629"/>
      <c r="F113" s="627"/>
      <c r="G113" s="626"/>
      <c r="H113" s="628"/>
      <c r="I113" s="626"/>
      <c r="J113" s="626"/>
      <c r="K113" s="626"/>
    </row>
    <row r="114" spans="1:252" s="178" customFormat="1" x14ac:dyDescent="0.3">
      <c r="A114" s="588"/>
      <c r="B114" s="589"/>
      <c r="C114" s="590"/>
      <c r="D114" s="591"/>
      <c r="H114" s="592"/>
      <c r="L114" s="624"/>
      <c r="M114" s="179"/>
      <c r="N114" s="179"/>
      <c r="O114" s="179"/>
      <c r="P114" s="179"/>
      <c r="Q114" s="179"/>
      <c r="R114" s="179"/>
      <c r="S114" s="179"/>
      <c r="T114" s="179"/>
      <c r="U114" s="179"/>
      <c r="V114" s="179"/>
      <c r="W114" s="179"/>
      <c r="X114" s="179"/>
      <c r="Y114" s="179"/>
      <c r="Z114" s="179"/>
      <c r="AA114" s="179"/>
      <c r="AB114" s="179"/>
      <c r="AC114" s="179"/>
      <c r="AD114" s="179"/>
      <c r="AE114" s="179"/>
      <c r="AF114" s="179"/>
      <c r="AG114" s="179"/>
      <c r="AH114" s="179"/>
      <c r="AI114" s="179"/>
      <c r="AJ114" s="179"/>
      <c r="AK114" s="179"/>
      <c r="AL114" s="179"/>
      <c r="AM114" s="179"/>
      <c r="AN114" s="179"/>
      <c r="AO114" s="179"/>
      <c r="AP114" s="179"/>
      <c r="AQ114" s="179"/>
      <c r="AR114" s="179"/>
      <c r="AS114" s="179"/>
      <c r="AT114" s="179"/>
      <c r="AU114" s="179"/>
      <c r="AV114" s="179"/>
      <c r="AW114" s="179"/>
      <c r="AX114" s="179"/>
      <c r="AY114" s="179"/>
      <c r="AZ114" s="179"/>
      <c r="BA114" s="179"/>
      <c r="BB114" s="179"/>
      <c r="BC114" s="179"/>
      <c r="BD114" s="179"/>
      <c r="BE114" s="179"/>
      <c r="BF114" s="179"/>
      <c r="BG114" s="179"/>
      <c r="BH114" s="179"/>
      <c r="BI114" s="179"/>
      <c r="BJ114" s="179"/>
      <c r="BK114" s="179"/>
      <c r="BL114" s="179"/>
      <c r="BM114" s="179"/>
      <c r="BN114" s="179"/>
      <c r="BO114" s="179"/>
      <c r="BP114" s="179"/>
      <c r="BQ114" s="179"/>
      <c r="BR114" s="179"/>
      <c r="BS114" s="179"/>
      <c r="BT114" s="179"/>
      <c r="BU114" s="179"/>
      <c r="BV114" s="179"/>
      <c r="BW114" s="179"/>
      <c r="BX114" s="179"/>
      <c r="BY114" s="179"/>
      <c r="BZ114" s="179"/>
      <c r="CA114" s="179"/>
      <c r="CB114" s="179"/>
      <c r="CC114" s="179"/>
      <c r="CD114" s="179"/>
      <c r="CE114" s="179"/>
      <c r="CF114" s="179"/>
      <c r="CG114" s="179"/>
      <c r="CH114" s="179"/>
      <c r="CI114" s="179"/>
      <c r="CJ114" s="179"/>
      <c r="CK114" s="179"/>
      <c r="CL114" s="179"/>
      <c r="CM114" s="179"/>
      <c r="CN114" s="179"/>
      <c r="CO114" s="179"/>
      <c r="CP114" s="179"/>
      <c r="CQ114" s="179"/>
      <c r="CR114" s="179"/>
      <c r="CS114" s="179"/>
      <c r="CT114" s="179"/>
      <c r="CU114" s="179"/>
      <c r="CV114" s="179"/>
      <c r="CW114" s="179"/>
      <c r="CX114" s="179"/>
      <c r="CY114" s="179"/>
      <c r="CZ114" s="179"/>
      <c r="DA114" s="179"/>
      <c r="DB114" s="179"/>
      <c r="DC114" s="179"/>
      <c r="DD114" s="179"/>
      <c r="DE114" s="179"/>
      <c r="DF114" s="179"/>
      <c r="DG114" s="179"/>
      <c r="DH114" s="179"/>
      <c r="DI114" s="179"/>
      <c r="DJ114" s="179"/>
      <c r="DK114" s="179"/>
      <c r="DL114" s="179"/>
      <c r="DM114" s="179"/>
      <c r="DN114" s="179"/>
      <c r="DO114" s="179"/>
      <c r="DP114" s="179"/>
      <c r="DQ114" s="179"/>
      <c r="DR114" s="179"/>
      <c r="DS114" s="179"/>
      <c r="DT114" s="179"/>
      <c r="DU114" s="179"/>
      <c r="DV114" s="179"/>
      <c r="DW114" s="179"/>
      <c r="DX114" s="179"/>
      <c r="DY114" s="179"/>
      <c r="DZ114" s="179"/>
      <c r="EA114" s="179"/>
      <c r="EB114" s="179"/>
      <c r="EC114" s="179"/>
      <c r="ED114" s="179"/>
      <c r="EE114" s="179"/>
      <c r="EF114" s="179"/>
      <c r="EG114" s="179"/>
      <c r="EH114" s="179"/>
      <c r="EI114" s="179"/>
      <c r="EJ114" s="179"/>
      <c r="EK114" s="179"/>
      <c r="EL114" s="179"/>
      <c r="EM114" s="179"/>
      <c r="EN114" s="179"/>
      <c r="EO114" s="179"/>
      <c r="EP114" s="179"/>
      <c r="EQ114" s="179"/>
      <c r="ER114" s="179"/>
      <c r="ES114" s="179"/>
      <c r="ET114" s="179"/>
      <c r="EU114" s="179"/>
      <c r="EV114" s="179"/>
      <c r="EW114" s="179"/>
      <c r="EX114" s="179"/>
      <c r="EY114" s="179"/>
      <c r="EZ114" s="179"/>
      <c r="FA114" s="179"/>
      <c r="FB114" s="179"/>
      <c r="FC114" s="179"/>
      <c r="FD114" s="179"/>
      <c r="FE114" s="179"/>
      <c r="FF114" s="179"/>
      <c r="FG114" s="179"/>
      <c r="FH114" s="179"/>
      <c r="FI114" s="179"/>
      <c r="FJ114" s="179"/>
      <c r="FK114" s="179"/>
      <c r="FL114" s="179"/>
      <c r="FM114" s="179"/>
      <c r="FN114" s="179"/>
      <c r="FO114" s="179"/>
      <c r="FP114" s="179"/>
      <c r="FQ114" s="179"/>
      <c r="FR114" s="179"/>
      <c r="FS114" s="179"/>
      <c r="FT114" s="179"/>
      <c r="FU114" s="179"/>
      <c r="FV114" s="179"/>
      <c r="FW114" s="179"/>
      <c r="FX114" s="179"/>
      <c r="FY114" s="179"/>
      <c r="FZ114" s="179"/>
      <c r="GA114" s="179"/>
      <c r="GB114" s="179"/>
      <c r="GC114" s="179"/>
      <c r="GD114" s="179"/>
      <c r="GE114" s="179"/>
      <c r="GF114" s="179"/>
      <c r="GG114" s="179"/>
      <c r="GH114" s="179"/>
      <c r="GI114" s="179"/>
      <c r="GJ114" s="179"/>
      <c r="GK114" s="179"/>
      <c r="GL114" s="179"/>
      <c r="GM114" s="179"/>
      <c r="GN114" s="179"/>
      <c r="GO114" s="179"/>
      <c r="GP114" s="179"/>
      <c r="GQ114" s="179"/>
      <c r="GR114" s="179"/>
      <c r="GS114" s="179"/>
      <c r="GT114" s="179"/>
      <c r="GU114" s="179"/>
      <c r="GV114" s="179"/>
      <c r="GW114" s="179"/>
      <c r="GX114" s="179"/>
      <c r="GY114" s="179"/>
      <c r="GZ114" s="179"/>
      <c r="HA114" s="179"/>
      <c r="HB114" s="179"/>
      <c r="HC114" s="179"/>
      <c r="HD114" s="179"/>
      <c r="HE114" s="179"/>
      <c r="HF114" s="179"/>
      <c r="HG114" s="179"/>
      <c r="HH114" s="179"/>
      <c r="HI114" s="179"/>
      <c r="HJ114" s="179"/>
      <c r="HK114" s="179"/>
      <c r="HL114" s="179"/>
      <c r="HM114" s="179"/>
      <c r="HN114" s="179"/>
      <c r="HO114" s="179"/>
      <c r="HP114" s="179"/>
      <c r="HQ114" s="179"/>
      <c r="HR114" s="179"/>
      <c r="HS114" s="179"/>
      <c r="HT114" s="179"/>
      <c r="HU114" s="179"/>
      <c r="HV114" s="179"/>
      <c r="HW114" s="179"/>
      <c r="HX114" s="179"/>
      <c r="HY114" s="179"/>
      <c r="HZ114" s="179"/>
      <c r="IA114" s="179"/>
      <c r="IB114" s="179"/>
      <c r="IC114" s="179"/>
      <c r="ID114" s="179"/>
      <c r="IE114" s="179"/>
      <c r="IF114" s="179"/>
      <c r="IG114" s="179"/>
      <c r="IH114" s="179"/>
      <c r="II114" s="179"/>
      <c r="IJ114" s="179"/>
      <c r="IK114" s="179"/>
      <c r="IL114" s="179"/>
      <c r="IM114" s="179"/>
      <c r="IN114" s="179"/>
      <c r="IO114" s="179"/>
      <c r="IP114" s="179"/>
      <c r="IQ114" s="179"/>
      <c r="IR114" s="179"/>
    </row>
  </sheetData>
  <mergeCells count="16">
    <mergeCell ref="D101:G101"/>
    <mergeCell ref="D96:G96"/>
    <mergeCell ref="B2:D2"/>
    <mergeCell ref="I2:L2"/>
    <mergeCell ref="B3:L3"/>
    <mergeCell ref="B4:L4"/>
    <mergeCell ref="B7:B9"/>
    <mergeCell ref="C7:C9"/>
    <mergeCell ref="D7:D9"/>
    <mergeCell ref="E7:E9"/>
    <mergeCell ref="F7:F9"/>
    <mergeCell ref="G7:G9"/>
    <mergeCell ref="I7:K7"/>
    <mergeCell ref="H7:H9"/>
    <mergeCell ref="L7:L9"/>
    <mergeCell ref="K8:K9"/>
  </mergeCells>
  <printOptions horizontalCentered="1"/>
  <pageMargins left="0.19685039370078741" right="0.19685039370078741" top="0.59055118110236227" bottom="0.59055118110236227" header="0.51181102362204722" footer="0.51181102362204722"/>
  <pageSetup paperSize="9" scale="58" fitToHeight="0" orientation="portrait" r:id="rId1"/>
  <headerFooter>
    <oddFooter>&amp;C- &amp;P -</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IW175"/>
  <sheetViews>
    <sheetView view="pageBreakPreview" topLeftCell="G165" zoomScaleNormal="100" zoomScaleSheetLayoutView="100" workbookViewId="0">
      <selection activeCell="A5" sqref="A5:Q175"/>
    </sheetView>
  </sheetViews>
  <sheetFormatPr defaultColWidth="9.28515625" defaultRowHeight="17.25" x14ac:dyDescent="0.35"/>
  <cols>
    <col min="1" max="1" width="3.7109375" style="181" customWidth="1"/>
    <col min="2" max="3" width="5.7109375" style="208" customWidth="1"/>
    <col min="4" max="4" width="67.140625" style="119" customWidth="1"/>
    <col min="5" max="5" width="12.7109375" style="207" customWidth="1"/>
    <col min="6" max="7" width="10.7109375" style="207" customWidth="1"/>
    <col min="8" max="8" width="6.7109375" style="183" customWidth="1"/>
    <col min="9" max="15" width="14.7109375" style="207" customWidth="1"/>
    <col min="16" max="16" width="15.7109375" style="196" customWidth="1"/>
    <col min="17" max="17" width="13.7109375" style="207" customWidth="1"/>
    <col min="18" max="16384" width="9.28515625" style="119"/>
  </cols>
  <sheetData>
    <row r="1" spans="1:257" x14ac:dyDescent="0.35">
      <c r="B1" s="1839" t="s">
        <v>872</v>
      </c>
      <c r="C1" s="1839"/>
      <c r="D1" s="1839"/>
      <c r="E1" s="1839"/>
      <c r="F1" s="1839"/>
      <c r="G1" s="1839"/>
      <c r="H1" s="1839"/>
      <c r="I1" s="1839"/>
      <c r="J1" s="1839"/>
    </row>
    <row r="2" spans="1:257" ht="18" customHeight="1" x14ac:dyDescent="0.3">
      <c r="B2" s="567" t="s">
        <v>801</v>
      </c>
      <c r="C2" s="567"/>
      <c r="D2" s="568"/>
      <c r="E2" s="174"/>
      <c r="F2" s="174"/>
      <c r="G2" s="174"/>
      <c r="H2" s="182"/>
      <c r="I2" s="2014"/>
      <c r="J2" s="2014"/>
      <c r="K2" s="2014"/>
      <c r="L2" s="2014"/>
      <c r="M2" s="2014"/>
      <c r="N2" s="2014"/>
      <c r="O2" s="2014"/>
      <c r="P2" s="2014"/>
      <c r="Q2" s="2014"/>
      <c r="R2" s="175"/>
      <c r="S2" s="175"/>
      <c r="T2" s="175"/>
      <c r="U2" s="175"/>
      <c r="V2" s="175"/>
      <c r="W2" s="175"/>
      <c r="X2" s="175"/>
      <c r="Y2" s="175"/>
      <c r="Z2" s="175"/>
      <c r="AA2" s="175"/>
      <c r="AB2" s="175"/>
      <c r="AC2" s="175"/>
      <c r="AD2" s="175"/>
      <c r="AE2" s="175"/>
      <c r="AF2" s="175"/>
      <c r="AG2" s="175"/>
      <c r="AH2" s="175"/>
      <c r="AI2" s="175"/>
      <c r="AJ2" s="175"/>
      <c r="AK2" s="175"/>
      <c r="AL2" s="175"/>
      <c r="AM2" s="175"/>
      <c r="AN2" s="175"/>
      <c r="AO2" s="175"/>
      <c r="AP2" s="175"/>
      <c r="AQ2" s="175"/>
      <c r="AR2" s="175"/>
      <c r="AS2" s="175"/>
      <c r="AT2" s="175"/>
      <c r="AU2" s="175"/>
      <c r="AV2" s="175"/>
      <c r="AW2" s="175"/>
      <c r="AX2" s="175"/>
      <c r="AY2" s="175"/>
      <c r="AZ2" s="175"/>
      <c r="BA2" s="175"/>
      <c r="BB2" s="175"/>
      <c r="BC2" s="175"/>
      <c r="BD2" s="175"/>
      <c r="BE2" s="175"/>
      <c r="BF2" s="175"/>
      <c r="BG2" s="175"/>
      <c r="BH2" s="175"/>
      <c r="BI2" s="175"/>
      <c r="BJ2" s="175"/>
      <c r="BK2" s="175"/>
      <c r="BL2" s="175"/>
      <c r="BM2" s="175"/>
      <c r="BN2" s="175"/>
      <c r="BO2" s="175"/>
      <c r="BP2" s="175"/>
      <c r="BQ2" s="175"/>
      <c r="BR2" s="175"/>
      <c r="BS2" s="175"/>
      <c r="BT2" s="175"/>
      <c r="BU2" s="175"/>
      <c r="BV2" s="175"/>
      <c r="BW2" s="175"/>
      <c r="BX2" s="175"/>
      <c r="BY2" s="175"/>
      <c r="BZ2" s="175"/>
      <c r="CA2" s="175"/>
      <c r="CB2" s="175"/>
      <c r="CC2" s="175"/>
      <c r="CD2" s="175"/>
      <c r="CE2" s="175"/>
      <c r="CF2" s="175"/>
      <c r="CG2" s="175"/>
      <c r="CH2" s="175"/>
      <c r="CI2" s="175"/>
      <c r="CJ2" s="175"/>
      <c r="CK2" s="175"/>
      <c r="CL2" s="175"/>
      <c r="CM2" s="175"/>
      <c r="CN2" s="175"/>
      <c r="CO2" s="175"/>
      <c r="CP2" s="175"/>
      <c r="CQ2" s="175"/>
      <c r="CR2" s="175"/>
      <c r="CS2" s="175"/>
      <c r="CT2" s="175"/>
      <c r="CU2" s="175"/>
      <c r="CV2" s="175"/>
      <c r="CW2" s="175"/>
      <c r="CX2" s="175"/>
      <c r="CY2" s="175"/>
      <c r="CZ2" s="175"/>
      <c r="DA2" s="175"/>
      <c r="DB2" s="175"/>
      <c r="DC2" s="175"/>
      <c r="DD2" s="175"/>
      <c r="DE2" s="175"/>
      <c r="DF2" s="175"/>
      <c r="DG2" s="175"/>
      <c r="DH2" s="175"/>
      <c r="DI2" s="175"/>
      <c r="DJ2" s="175"/>
      <c r="DK2" s="175"/>
      <c r="DL2" s="175"/>
      <c r="DM2" s="175"/>
      <c r="DN2" s="175"/>
      <c r="DO2" s="175"/>
      <c r="DP2" s="175"/>
      <c r="DQ2" s="175"/>
      <c r="DR2" s="175"/>
      <c r="DS2" s="175"/>
      <c r="DT2" s="175"/>
      <c r="DU2" s="175"/>
      <c r="DV2" s="175"/>
      <c r="DW2" s="175"/>
      <c r="DX2" s="175"/>
      <c r="DY2" s="175"/>
      <c r="DZ2" s="175"/>
      <c r="EA2" s="175"/>
      <c r="EB2" s="175"/>
      <c r="EC2" s="175"/>
      <c r="ED2" s="175"/>
      <c r="EE2" s="175"/>
      <c r="EF2" s="175"/>
      <c r="EG2" s="175"/>
      <c r="EH2" s="175"/>
      <c r="EI2" s="175"/>
      <c r="EJ2" s="175"/>
      <c r="EK2" s="175"/>
      <c r="EL2" s="175"/>
      <c r="EM2" s="175"/>
      <c r="EN2" s="175"/>
      <c r="EO2" s="175"/>
      <c r="EP2" s="175"/>
      <c r="EQ2" s="175"/>
      <c r="ER2" s="175"/>
      <c r="ES2" s="175"/>
      <c r="ET2" s="175"/>
      <c r="EU2" s="175"/>
      <c r="EV2" s="175"/>
      <c r="EW2" s="175"/>
      <c r="EX2" s="175"/>
      <c r="EY2" s="175"/>
      <c r="EZ2" s="175"/>
      <c r="FA2" s="175"/>
      <c r="FB2" s="175"/>
      <c r="FC2" s="175"/>
      <c r="FD2" s="175"/>
      <c r="FE2" s="175"/>
      <c r="FF2" s="175"/>
      <c r="FG2" s="175"/>
      <c r="FH2" s="175"/>
      <c r="FI2" s="175"/>
      <c r="FJ2" s="175"/>
      <c r="FK2" s="175"/>
      <c r="FL2" s="175"/>
      <c r="FM2" s="175"/>
      <c r="FN2" s="175"/>
      <c r="FO2" s="175"/>
      <c r="FP2" s="175"/>
      <c r="FQ2" s="175"/>
      <c r="FR2" s="175"/>
      <c r="FS2" s="175"/>
      <c r="FT2" s="175"/>
      <c r="FU2" s="175"/>
      <c r="FV2" s="175"/>
      <c r="FW2" s="175"/>
      <c r="FX2" s="175"/>
      <c r="FY2" s="175"/>
      <c r="FZ2" s="175"/>
      <c r="GA2" s="175"/>
      <c r="GB2" s="175"/>
      <c r="GC2" s="175"/>
      <c r="GD2" s="175"/>
      <c r="GE2" s="175"/>
      <c r="GF2" s="175"/>
      <c r="GG2" s="175"/>
      <c r="GH2" s="175"/>
      <c r="GI2" s="175"/>
      <c r="GJ2" s="175"/>
      <c r="GK2" s="175"/>
      <c r="GL2" s="175"/>
      <c r="GM2" s="175"/>
      <c r="GN2" s="175"/>
      <c r="GO2" s="175"/>
      <c r="GP2" s="175"/>
      <c r="GQ2" s="175"/>
      <c r="GR2" s="175"/>
      <c r="GS2" s="175"/>
      <c r="GT2" s="175"/>
      <c r="GU2" s="175"/>
      <c r="GV2" s="175"/>
      <c r="GW2" s="175"/>
      <c r="GX2" s="175"/>
      <c r="GY2" s="175"/>
      <c r="GZ2" s="175"/>
      <c r="HA2" s="175"/>
      <c r="HB2" s="175"/>
      <c r="HC2" s="175"/>
      <c r="HD2" s="175"/>
      <c r="HE2" s="175"/>
      <c r="HF2" s="175"/>
      <c r="HG2" s="175"/>
      <c r="HH2" s="175"/>
      <c r="HI2" s="175"/>
      <c r="HJ2" s="175"/>
      <c r="HK2" s="175"/>
      <c r="HL2" s="175"/>
      <c r="HM2" s="175"/>
      <c r="HN2" s="175"/>
      <c r="HO2" s="175"/>
      <c r="HP2" s="175"/>
      <c r="HQ2" s="175"/>
      <c r="HR2" s="175"/>
      <c r="HS2" s="175"/>
      <c r="HT2" s="175"/>
      <c r="HU2" s="175"/>
      <c r="HV2" s="175"/>
      <c r="HW2" s="175"/>
      <c r="HX2" s="175"/>
      <c r="HY2" s="175"/>
      <c r="HZ2" s="175"/>
      <c r="IA2" s="175"/>
      <c r="IB2" s="175"/>
      <c r="IC2" s="175"/>
      <c r="ID2" s="175"/>
      <c r="IE2" s="175"/>
      <c r="IF2" s="175"/>
      <c r="IG2" s="175"/>
      <c r="IH2" s="175"/>
      <c r="II2" s="175"/>
      <c r="IJ2" s="175"/>
      <c r="IK2" s="175"/>
      <c r="IL2" s="175"/>
      <c r="IM2" s="175"/>
      <c r="IN2" s="175"/>
      <c r="IO2" s="175"/>
      <c r="IP2" s="175"/>
      <c r="IQ2" s="175"/>
    </row>
    <row r="3" spans="1:257" ht="24.75" customHeight="1" x14ac:dyDescent="0.35">
      <c r="A3" s="1985" t="s">
        <v>14</v>
      </c>
      <c r="B3" s="1985"/>
      <c r="C3" s="1985"/>
      <c r="D3" s="1985"/>
      <c r="E3" s="1985"/>
      <c r="F3" s="1985"/>
      <c r="G3" s="1985"/>
      <c r="H3" s="1985"/>
      <c r="I3" s="1985"/>
      <c r="J3" s="1985"/>
      <c r="K3" s="1985"/>
      <c r="L3" s="1985"/>
      <c r="M3" s="1985"/>
      <c r="N3" s="1985"/>
      <c r="O3" s="1985"/>
      <c r="P3" s="1985"/>
      <c r="Q3" s="1985"/>
    </row>
    <row r="4" spans="1:257" ht="24.75" customHeight="1" x14ac:dyDescent="0.35">
      <c r="A4" s="2033" t="s">
        <v>616</v>
      </c>
      <c r="B4" s="2033"/>
      <c r="C4" s="2033"/>
      <c r="D4" s="2033"/>
      <c r="E4" s="2033"/>
      <c r="F4" s="2033"/>
      <c r="G4" s="2033"/>
      <c r="H4" s="2033"/>
      <c r="I4" s="2033"/>
      <c r="J4" s="2033"/>
      <c r="K4" s="2033"/>
      <c r="L4" s="2033"/>
      <c r="M4" s="2033"/>
      <c r="N4" s="2033"/>
      <c r="O4" s="2033"/>
      <c r="P4" s="2033"/>
      <c r="Q4" s="2033"/>
    </row>
    <row r="5" spans="1:257" s="179" customFormat="1" ht="18" customHeight="1" x14ac:dyDescent="0.3">
      <c r="A5" s="181"/>
      <c r="B5" s="181"/>
      <c r="C5" s="181"/>
      <c r="E5" s="178"/>
      <c r="F5" s="178"/>
      <c r="G5" s="178"/>
      <c r="H5" s="210"/>
      <c r="I5" s="178"/>
      <c r="J5" s="178"/>
      <c r="K5" s="178"/>
      <c r="L5" s="178"/>
      <c r="M5" s="178"/>
      <c r="N5" s="178"/>
      <c r="O5" s="178"/>
      <c r="P5" s="211"/>
      <c r="Q5" s="180" t="s">
        <v>0</v>
      </c>
    </row>
    <row r="6" spans="1:257" s="202" customFormat="1" ht="18" customHeight="1" thickBot="1" x14ac:dyDescent="0.35">
      <c r="A6" s="212"/>
      <c r="B6" s="213" t="s">
        <v>1</v>
      </c>
      <c r="C6" s="214" t="s">
        <v>3</v>
      </c>
      <c r="D6" s="214" t="s">
        <v>2</v>
      </c>
      <c r="E6" s="214" t="s">
        <v>4</v>
      </c>
      <c r="F6" s="214" t="s">
        <v>5</v>
      </c>
      <c r="G6" s="214" t="s">
        <v>15</v>
      </c>
      <c r="H6" s="214" t="s">
        <v>16</v>
      </c>
      <c r="I6" s="214" t="s">
        <v>17</v>
      </c>
      <c r="J6" s="214" t="s">
        <v>32</v>
      </c>
      <c r="K6" s="214" t="s">
        <v>28</v>
      </c>
      <c r="L6" s="214" t="s">
        <v>23</v>
      </c>
      <c r="M6" s="214" t="s">
        <v>33</v>
      </c>
      <c r="N6" s="214" t="s">
        <v>34</v>
      </c>
      <c r="O6" s="214"/>
      <c r="P6" s="214" t="s">
        <v>122</v>
      </c>
      <c r="Q6" s="214" t="s">
        <v>123</v>
      </c>
      <c r="R6" s="212"/>
      <c r="S6" s="212"/>
      <c r="T6" s="212"/>
      <c r="U6" s="212"/>
      <c r="V6" s="212"/>
      <c r="W6" s="212"/>
      <c r="X6" s="212"/>
      <c r="Y6" s="212"/>
      <c r="Z6" s="212"/>
      <c r="AA6" s="212"/>
      <c r="AB6" s="212"/>
      <c r="AC6" s="212"/>
      <c r="AD6" s="212"/>
      <c r="AE6" s="212"/>
      <c r="AF6" s="212"/>
      <c r="AG6" s="212"/>
      <c r="AH6" s="212"/>
      <c r="AI6" s="212"/>
      <c r="AJ6" s="212"/>
      <c r="AK6" s="212"/>
      <c r="AL6" s="212"/>
      <c r="AM6" s="212"/>
      <c r="AN6" s="212"/>
      <c r="AO6" s="212"/>
      <c r="AP6" s="212"/>
      <c r="AQ6" s="212"/>
      <c r="AR6" s="212"/>
      <c r="AS6" s="212"/>
      <c r="AT6" s="212"/>
      <c r="AU6" s="212"/>
      <c r="AV6" s="212"/>
      <c r="AW6" s="212"/>
      <c r="AX6" s="212"/>
      <c r="AY6" s="212"/>
      <c r="AZ6" s="212"/>
      <c r="BA6" s="212"/>
      <c r="BB6" s="212"/>
      <c r="BC6" s="212"/>
      <c r="BD6" s="212"/>
      <c r="BE6" s="212"/>
      <c r="BF6" s="212"/>
      <c r="BG6" s="212"/>
      <c r="BH6" s="212"/>
      <c r="BI6" s="212"/>
      <c r="BJ6" s="212"/>
      <c r="BK6" s="212"/>
      <c r="BL6" s="212"/>
      <c r="BM6" s="212"/>
      <c r="BN6" s="212"/>
      <c r="BO6" s="212"/>
      <c r="BP6" s="212"/>
      <c r="BQ6" s="212"/>
      <c r="BR6" s="212"/>
      <c r="BS6" s="212"/>
      <c r="BT6" s="212"/>
      <c r="BU6" s="212"/>
      <c r="BV6" s="212"/>
      <c r="BW6" s="212"/>
      <c r="BX6" s="212"/>
      <c r="BY6" s="212"/>
      <c r="BZ6" s="212"/>
      <c r="CA6" s="212"/>
      <c r="CB6" s="212"/>
      <c r="CC6" s="212"/>
      <c r="CD6" s="212"/>
      <c r="CE6" s="212"/>
      <c r="CF6" s="212"/>
      <c r="CG6" s="212"/>
      <c r="CH6" s="212"/>
      <c r="CI6" s="212"/>
      <c r="CJ6" s="212"/>
      <c r="CK6" s="212"/>
      <c r="CL6" s="212"/>
      <c r="CM6" s="212"/>
      <c r="CN6" s="212"/>
      <c r="CO6" s="212"/>
      <c r="CP6" s="212"/>
      <c r="CQ6" s="212"/>
      <c r="CR6" s="212"/>
      <c r="CS6" s="212"/>
      <c r="CT6" s="212"/>
      <c r="CU6" s="212"/>
      <c r="CV6" s="212"/>
      <c r="CW6" s="212"/>
      <c r="CX6" s="212"/>
      <c r="CY6" s="212"/>
      <c r="CZ6" s="212"/>
      <c r="DA6" s="212"/>
      <c r="DB6" s="212"/>
      <c r="DC6" s="212"/>
      <c r="DD6" s="212"/>
      <c r="DE6" s="212"/>
      <c r="DF6" s="212"/>
      <c r="DG6" s="212"/>
      <c r="DH6" s="212"/>
      <c r="DI6" s="212"/>
      <c r="DJ6" s="212"/>
      <c r="DK6" s="212"/>
      <c r="DL6" s="212"/>
      <c r="DM6" s="212"/>
      <c r="DN6" s="212"/>
      <c r="DO6" s="212"/>
      <c r="DP6" s="212"/>
      <c r="DQ6" s="212"/>
      <c r="DR6" s="212"/>
      <c r="DS6" s="212"/>
      <c r="DT6" s="212"/>
      <c r="DU6" s="212"/>
      <c r="DV6" s="212"/>
      <c r="DW6" s="212"/>
      <c r="DX6" s="212"/>
      <c r="DY6" s="212"/>
      <c r="DZ6" s="212"/>
      <c r="EA6" s="212"/>
      <c r="EB6" s="212"/>
      <c r="EC6" s="212"/>
      <c r="ED6" s="212"/>
      <c r="EE6" s="212"/>
      <c r="EF6" s="212"/>
      <c r="EG6" s="212"/>
      <c r="EH6" s="212"/>
      <c r="EI6" s="212"/>
      <c r="EJ6" s="212"/>
      <c r="EK6" s="212"/>
      <c r="EL6" s="212"/>
      <c r="EM6" s="212"/>
      <c r="EN6" s="212"/>
      <c r="EO6" s="212"/>
      <c r="EP6" s="212"/>
      <c r="EQ6" s="212"/>
      <c r="ER6" s="212"/>
      <c r="ES6" s="212"/>
      <c r="ET6" s="212"/>
      <c r="EU6" s="212"/>
      <c r="EV6" s="212"/>
      <c r="EW6" s="212"/>
      <c r="EX6" s="212"/>
      <c r="EY6" s="212"/>
      <c r="EZ6" s="212"/>
      <c r="FA6" s="212"/>
      <c r="FB6" s="212"/>
      <c r="FC6" s="212"/>
      <c r="FD6" s="212"/>
      <c r="FE6" s="212"/>
      <c r="FF6" s="212"/>
      <c r="FG6" s="212"/>
      <c r="FH6" s="212"/>
      <c r="FI6" s="212"/>
      <c r="FJ6" s="212"/>
      <c r="FK6" s="212"/>
      <c r="FL6" s="212"/>
      <c r="FM6" s="212"/>
      <c r="FN6" s="212"/>
      <c r="FO6" s="212"/>
      <c r="FP6" s="212"/>
      <c r="FQ6" s="212"/>
      <c r="FR6" s="212"/>
      <c r="FS6" s="212"/>
      <c r="FT6" s="212"/>
      <c r="FU6" s="212"/>
      <c r="FV6" s="212"/>
      <c r="FW6" s="212"/>
      <c r="FX6" s="212"/>
      <c r="FY6" s="212"/>
      <c r="FZ6" s="212"/>
      <c r="GA6" s="212"/>
      <c r="GB6" s="212"/>
      <c r="GC6" s="212"/>
      <c r="GD6" s="212"/>
      <c r="GE6" s="212"/>
      <c r="GF6" s="212"/>
      <c r="GG6" s="212"/>
      <c r="GH6" s="212"/>
      <c r="GI6" s="212"/>
      <c r="GJ6" s="212"/>
      <c r="GK6" s="212"/>
      <c r="GL6" s="212"/>
      <c r="GM6" s="212"/>
      <c r="GN6" s="212"/>
      <c r="GO6" s="212"/>
      <c r="GP6" s="212"/>
      <c r="GQ6" s="212"/>
      <c r="GR6" s="212"/>
      <c r="GS6" s="212"/>
      <c r="GT6" s="212"/>
      <c r="GU6" s="212"/>
      <c r="GV6" s="212"/>
      <c r="GW6" s="212"/>
      <c r="GX6" s="212"/>
      <c r="GY6" s="212"/>
      <c r="GZ6" s="212"/>
      <c r="HA6" s="212"/>
      <c r="HB6" s="212"/>
      <c r="HC6" s="212"/>
      <c r="HD6" s="212"/>
      <c r="HE6" s="212"/>
      <c r="HF6" s="212"/>
      <c r="HG6" s="212"/>
      <c r="HH6" s="212"/>
      <c r="HI6" s="212"/>
      <c r="HJ6" s="212"/>
      <c r="HK6" s="212"/>
      <c r="HL6" s="212"/>
      <c r="HM6" s="212"/>
      <c r="HN6" s="212"/>
      <c r="HO6" s="212"/>
      <c r="HP6" s="212"/>
      <c r="HQ6" s="212"/>
      <c r="HR6" s="212"/>
      <c r="HS6" s="212"/>
      <c r="HT6" s="212"/>
      <c r="HU6" s="212"/>
      <c r="HV6" s="212"/>
      <c r="HW6" s="212"/>
      <c r="HX6" s="212"/>
      <c r="HY6" s="212"/>
      <c r="HZ6" s="212"/>
      <c r="IA6" s="212"/>
      <c r="IB6" s="212"/>
      <c r="IC6" s="212"/>
      <c r="ID6" s="212"/>
      <c r="IE6" s="212"/>
      <c r="IF6" s="212"/>
      <c r="IG6" s="212"/>
      <c r="IH6" s="212"/>
      <c r="II6" s="212"/>
      <c r="IJ6" s="212"/>
      <c r="IK6" s="212"/>
      <c r="IL6" s="212"/>
      <c r="IM6" s="212"/>
      <c r="IN6" s="212"/>
      <c r="IO6" s="212"/>
      <c r="IP6" s="212"/>
      <c r="IQ6" s="212"/>
    </row>
    <row r="7" spans="1:257" ht="22.5" customHeight="1" x14ac:dyDescent="0.3">
      <c r="B7" s="2027" t="s">
        <v>18</v>
      </c>
      <c r="C7" s="2020" t="s">
        <v>19</v>
      </c>
      <c r="D7" s="2034" t="s">
        <v>6</v>
      </c>
      <c r="E7" s="2030" t="s">
        <v>394</v>
      </c>
      <c r="F7" s="2030" t="s">
        <v>651</v>
      </c>
      <c r="G7" s="2037" t="s">
        <v>721</v>
      </c>
      <c r="H7" s="2005" t="s">
        <v>20</v>
      </c>
      <c r="I7" s="2040" t="s">
        <v>514</v>
      </c>
      <c r="J7" s="2030"/>
      <c r="K7" s="2030"/>
      <c r="L7" s="2030"/>
      <c r="M7" s="2030"/>
      <c r="N7" s="2030"/>
      <c r="O7" s="2037"/>
      <c r="P7" s="2041"/>
      <c r="Q7" s="2042" t="s">
        <v>515</v>
      </c>
      <c r="R7" s="2026"/>
      <c r="S7" s="2026"/>
    </row>
    <row r="8" spans="1:257" ht="33" customHeight="1" x14ac:dyDescent="0.3">
      <c r="B8" s="2028"/>
      <c r="C8" s="2021"/>
      <c r="D8" s="2035"/>
      <c r="E8" s="2031"/>
      <c r="F8" s="2031"/>
      <c r="G8" s="2038"/>
      <c r="H8" s="2006"/>
      <c r="I8" s="2045" t="s">
        <v>308</v>
      </c>
      <c r="J8" s="2046"/>
      <c r="K8" s="2047"/>
      <c r="L8" s="2047"/>
      <c r="M8" s="2023" t="s">
        <v>125</v>
      </c>
      <c r="N8" s="2024"/>
      <c r="O8" s="2025"/>
      <c r="P8" s="2048" t="s">
        <v>101</v>
      </c>
      <c r="Q8" s="2043"/>
    </row>
    <row r="9" spans="1:257" ht="53.25" customHeight="1" thickBot="1" x14ac:dyDescent="0.35">
      <c r="B9" s="2029"/>
      <c r="C9" s="2022"/>
      <c r="D9" s="2036"/>
      <c r="E9" s="2032"/>
      <c r="F9" s="2032"/>
      <c r="G9" s="2039"/>
      <c r="H9" s="2007"/>
      <c r="I9" s="222" t="s">
        <v>36</v>
      </c>
      <c r="J9" s="184" t="s">
        <v>638</v>
      </c>
      <c r="K9" s="185" t="s">
        <v>38</v>
      </c>
      <c r="L9" s="185" t="s">
        <v>307</v>
      </c>
      <c r="M9" s="184" t="s">
        <v>186</v>
      </c>
      <c r="N9" s="184" t="s">
        <v>126</v>
      </c>
      <c r="O9" s="222" t="s">
        <v>187</v>
      </c>
      <c r="P9" s="2049"/>
      <c r="Q9" s="2044"/>
    </row>
    <row r="10" spans="1:257" s="187" customFormat="1" ht="22.5" customHeight="1" x14ac:dyDescent="0.35">
      <c r="A10" s="195">
        <v>1</v>
      </c>
      <c r="B10" s="186">
        <v>18</v>
      </c>
      <c r="C10" s="193" t="s">
        <v>14</v>
      </c>
      <c r="D10" s="216"/>
      <c r="E10" s="125"/>
      <c r="F10" s="123"/>
      <c r="G10" s="124"/>
      <c r="H10" s="223"/>
      <c r="I10" s="229"/>
      <c r="J10" s="230"/>
      <c r="K10" s="230"/>
      <c r="L10" s="230"/>
      <c r="M10" s="230"/>
      <c r="N10" s="230"/>
      <c r="O10" s="1779"/>
      <c r="P10" s="231"/>
      <c r="Q10" s="188"/>
      <c r="R10" s="119"/>
      <c r="S10" s="119"/>
      <c r="T10" s="119"/>
      <c r="U10" s="119"/>
      <c r="V10" s="119"/>
      <c r="W10" s="119"/>
      <c r="X10" s="119"/>
      <c r="Y10" s="119"/>
      <c r="Z10" s="119"/>
      <c r="AA10" s="119"/>
      <c r="AB10" s="119"/>
      <c r="AC10" s="119"/>
      <c r="AD10" s="119"/>
      <c r="AE10" s="119"/>
      <c r="AF10" s="119"/>
      <c r="AG10" s="119"/>
      <c r="AH10" s="119"/>
      <c r="AI10" s="119"/>
      <c r="AJ10" s="119"/>
      <c r="AK10" s="119"/>
      <c r="AL10" s="119"/>
      <c r="AM10" s="119"/>
      <c r="AN10" s="119"/>
      <c r="AO10" s="119"/>
      <c r="AP10" s="119"/>
      <c r="AQ10" s="119"/>
      <c r="AR10" s="119"/>
      <c r="AS10" s="119"/>
      <c r="AT10" s="119"/>
      <c r="AU10" s="119"/>
      <c r="AV10" s="119"/>
      <c r="AW10" s="119"/>
      <c r="AX10" s="119"/>
      <c r="AY10" s="119"/>
      <c r="AZ10" s="119"/>
      <c r="BA10" s="119"/>
      <c r="BB10" s="119"/>
      <c r="BC10" s="119"/>
      <c r="BD10" s="119"/>
      <c r="BE10" s="119"/>
      <c r="BF10" s="119"/>
      <c r="BG10" s="119"/>
      <c r="BH10" s="119"/>
      <c r="BI10" s="119"/>
      <c r="BJ10" s="119"/>
      <c r="BK10" s="119"/>
      <c r="BL10" s="119"/>
      <c r="BM10" s="119"/>
      <c r="BN10" s="119"/>
      <c r="BO10" s="119"/>
      <c r="BP10" s="119"/>
      <c r="BQ10" s="119"/>
      <c r="BR10" s="119"/>
      <c r="BS10" s="119"/>
      <c r="BT10" s="119"/>
      <c r="BU10" s="119"/>
      <c r="BV10" s="119"/>
      <c r="BW10" s="119"/>
      <c r="BX10" s="119"/>
      <c r="BY10" s="119"/>
      <c r="BZ10" s="119"/>
      <c r="CA10" s="119"/>
      <c r="CB10" s="119"/>
      <c r="CC10" s="119"/>
      <c r="CD10" s="119"/>
      <c r="CE10" s="119"/>
      <c r="CF10" s="119"/>
      <c r="CG10" s="119"/>
      <c r="CH10" s="119"/>
      <c r="CI10" s="119"/>
      <c r="CJ10" s="119"/>
      <c r="CK10" s="119"/>
      <c r="CL10" s="119"/>
      <c r="CM10" s="119"/>
      <c r="CN10" s="119"/>
      <c r="CO10" s="119"/>
      <c r="CP10" s="119"/>
      <c r="CQ10" s="119"/>
      <c r="CR10" s="119"/>
      <c r="CS10" s="119"/>
      <c r="CT10" s="119"/>
      <c r="CU10" s="119"/>
      <c r="CV10" s="119"/>
      <c r="CW10" s="119"/>
      <c r="CX10" s="119"/>
      <c r="CY10" s="119"/>
      <c r="CZ10" s="119"/>
      <c r="DA10" s="119"/>
      <c r="DB10" s="119"/>
      <c r="DC10" s="119"/>
      <c r="DD10" s="119"/>
      <c r="DE10" s="119"/>
      <c r="DF10" s="119"/>
      <c r="DG10" s="119"/>
      <c r="DH10" s="119"/>
      <c r="DI10" s="119"/>
      <c r="DJ10" s="119"/>
      <c r="DK10" s="119"/>
      <c r="DL10" s="119"/>
      <c r="DM10" s="119"/>
      <c r="DN10" s="119"/>
      <c r="DO10" s="119"/>
      <c r="DP10" s="119"/>
      <c r="DQ10" s="119"/>
      <c r="DR10" s="119"/>
      <c r="DS10" s="119"/>
      <c r="DT10" s="119"/>
      <c r="DU10" s="119"/>
      <c r="DV10" s="119"/>
      <c r="DW10" s="119"/>
      <c r="DX10" s="119"/>
      <c r="DY10" s="119"/>
      <c r="DZ10" s="119"/>
      <c r="EA10" s="119"/>
      <c r="EB10" s="119"/>
      <c r="EC10" s="119"/>
      <c r="ED10" s="119"/>
      <c r="EE10" s="119"/>
      <c r="EF10" s="119"/>
      <c r="EG10" s="119"/>
      <c r="EH10" s="119"/>
      <c r="EI10" s="119"/>
      <c r="EJ10" s="119"/>
      <c r="EK10" s="119"/>
      <c r="EL10" s="119"/>
      <c r="EM10" s="119"/>
      <c r="EN10" s="119"/>
      <c r="EO10" s="119"/>
      <c r="EP10" s="119"/>
      <c r="EQ10" s="119"/>
      <c r="ER10" s="119"/>
      <c r="ES10" s="119"/>
      <c r="ET10" s="119"/>
      <c r="EU10" s="119"/>
      <c r="EV10" s="119"/>
      <c r="EW10" s="119"/>
      <c r="EX10" s="119"/>
      <c r="EY10" s="119"/>
      <c r="EZ10" s="119"/>
      <c r="FA10" s="119"/>
      <c r="FB10" s="119"/>
      <c r="FC10" s="119"/>
      <c r="FD10" s="119"/>
      <c r="FE10" s="119"/>
      <c r="FF10" s="119"/>
      <c r="FG10" s="119"/>
      <c r="FH10" s="119"/>
      <c r="FI10" s="119"/>
      <c r="FJ10" s="119"/>
      <c r="FK10" s="119"/>
      <c r="FL10" s="119"/>
      <c r="FM10" s="119"/>
      <c r="FN10" s="119"/>
      <c r="FO10" s="119"/>
      <c r="FP10" s="119"/>
      <c r="FQ10" s="119"/>
      <c r="FR10" s="119"/>
      <c r="FS10" s="119"/>
      <c r="FT10" s="119"/>
      <c r="FU10" s="119"/>
      <c r="FV10" s="119"/>
      <c r="FW10" s="119"/>
      <c r="FX10" s="119"/>
      <c r="FY10" s="119"/>
      <c r="FZ10" s="119"/>
      <c r="GA10" s="119"/>
      <c r="GB10" s="119"/>
      <c r="GC10" s="119"/>
      <c r="GD10" s="119"/>
      <c r="GE10" s="119"/>
      <c r="GF10" s="119"/>
      <c r="GG10" s="119"/>
      <c r="GH10" s="119"/>
      <c r="GI10" s="119"/>
      <c r="GJ10" s="119"/>
      <c r="GK10" s="119"/>
      <c r="GL10" s="119"/>
      <c r="GM10" s="119"/>
      <c r="GN10" s="119"/>
      <c r="GO10" s="119"/>
      <c r="GP10" s="119"/>
      <c r="GQ10" s="119"/>
      <c r="GR10" s="119"/>
      <c r="GS10" s="119"/>
      <c r="GT10" s="119"/>
      <c r="GU10" s="119"/>
      <c r="GV10" s="119"/>
      <c r="GW10" s="119"/>
      <c r="GX10" s="119"/>
      <c r="GY10" s="119"/>
      <c r="GZ10" s="119"/>
      <c r="HA10" s="119"/>
      <c r="HB10" s="119"/>
      <c r="HC10" s="119"/>
      <c r="HD10" s="119"/>
      <c r="HE10" s="119"/>
      <c r="HF10" s="119"/>
      <c r="HG10" s="119"/>
      <c r="HH10" s="119"/>
      <c r="HI10" s="119"/>
      <c r="HJ10" s="119"/>
      <c r="HK10" s="119"/>
      <c r="HL10" s="119"/>
      <c r="HM10" s="119"/>
      <c r="HN10" s="119"/>
      <c r="HO10" s="119"/>
      <c r="HP10" s="119"/>
      <c r="HQ10" s="119"/>
      <c r="HR10" s="119"/>
      <c r="HS10" s="119"/>
      <c r="HT10" s="119"/>
      <c r="HU10" s="119"/>
      <c r="HV10" s="119"/>
      <c r="HW10" s="119"/>
      <c r="HX10" s="119"/>
      <c r="HY10" s="119"/>
      <c r="HZ10" s="119"/>
      <c r="IA10" s="119"/>
      <c r="IB10" s="119"/>
      <c r="IC10" s="119"/>
      <c r="ID10" s="119"/>
      <c r="IE10" s="119"/>
      <c r="IF10" s="119"/>
      <c r="IG10" s="119"/>
      <c r="IH10" s="119"/>
      <c r="II10" s="119"/>
      <c r="IJ10" s="119"/>
      <c r="IK10" s="119"/>
      <c r="IL10" s="119"/>
      <c r="IM10" s="119"/>
      <c r="IN10" s="119"/>
      <c r="IO10" s="119"/>
      <c r="IP10" s="119"/>
      <c r="IQ10" s="119"/>
      <c r="IR10" s="119"/>
      <c r="IS10" s="119"/>
      <c r="IT10" s="119"/>
      <c r="IU10" s="119"/>
      <c r="IV10" s="119"/>
      <c r="IW10" s="119"/>
    </row>
    <row r="11" spans="1:257" s="187" customFormat="1" ht="36" customHeight="1" x14ac:dyDescent="0.35">
      <c r="A11" s="195">
        <v>2</v>
      </c>
      <c r="B11" s="192"/>
      <c r="C11" s="120">
        <v>1</v>
      </c>
      <c r="D11" s="215" t="s">
        <v>389</v>
      </c>
      <c r="E11" s="547">
        <f>F11+G11+P15+Q12</f>
        <v>81250</v>
      </c>
      <c r="F11" s="547">
        <v>21668</v>
      </c>
      <c r="G11" s="552">
        <v>35392</v>
      </c>
      <c r="H11" s="233" t="s">
        <v>24</v>
      </c>
      <c r="I11" s="275"/>
      <c r="J11" s="219"/>
      <c r="K11" s="219"/>
      <c r="L11" s="219"/>
      <c r="M11" s="219"/>
      <c r="N11" s="228"/>
      <c r="O11" s="1780"/>
      <c r="P11" s="232"/>
      <c r="Q11" s="189"/>
      <c r="R11" s="119"/>
      <c r="S11" s="119"/>
      <c r="T11" s="119"/>
      <c r="U11" s="119"/>
      <c r="V11" s="119"/>
      <c r="W11" s="119"/>
      <c r="X11" s="119"/>
      <c r="Y11" s="119"/>
      <c r="Z11" s="119"/>
      <c r="AA11" s="119"/>
      <c r="AB11" s="119"/>
      <c r="AC11" s="119"/>
      <c r="AD11" s="119"/>
      <c r="AE11" s="119"/>
      <c r="AF11" s="119"/>
      <c r="AG11" s="119"/>
      <c r="AH11" s="119"/>
      <c r="AI11" s="119"/>
      <c r="AJ11" s="119"/>
      <c r="AK11" s="119"/>
      <c r="AL11" s="119"/>
      <c r="AM11" s="119"/>
      <c r="AN11" s="119"/>
      <c r="AO11" s="119"/>
      <c r="AP11" s="119"/>
      <c r="AQ11" s="119"/>
      <c r="AR11" s="119"/>
      <c r="AS11" s="119"/>
      <c r="AT11" s="119"/>
      <c r="AU11" s="119"/>
      <c r="AV11" s="119"/>
      <c r="AW11" s="119"/>
      <c r="AX11" s="119"/>
      <c r="AY11" s="119"/>
      <c r="AZ11" s="119"/>
      <c r="BA11" s="119"/>
      <c r="BB11" s="119"/>
      <c r="BC11" s="119"/>
      <c r="BD11" s="119"/>
      <c r="BE11" s="119"/>
      <c r="BF11" s="119"/>
      <c r="BG11" s="119"/>
      <c r="BH11" s="119"/>
      <c r="BI11" s="119"/>
      <c r="BJ11" s="119"/>
      <c r="BK11" s="119"/>
      <c r="BL11" s="119"/>
      <c r="BM11" s="119"/>
      <c r="BN11" s="119"/>
      <c r="BO11" s="119"/>
      <c r="BP11" s="119"/>
      <c r="BQ11" s="119"/>
      <c r="BR11" s="119"/>
      <c r="BS11" s="119"/>
      <c r="BT11" s="119"/>
      <c r="BU11" s="119"/>
      <c r="BV11" s="119"/>
      <c r="BW11" s="119"/>
      <c r="BX11" s="119"/>
      <c r="BY11" s="119"/>
      <c r="BZ11" s="119"/>
      <c r="CA11" s="119"/>
      <c r="CB11" s="119"/>
      <c r="CC11" s="119"/>
      <c r="CD11" s="119"/>
      <c r="CE11" s="119"/>
      <c r="CF11" s="119"/>
      <c r="CG11" s="119"/>
      <c r="CH11" s="119"/>
      <c r="CI11" s="119"/>
      <c r="CJ11" s="119"/>
      <c r="CK11" s="119"/>
      <c r="CL11" s="119"/>
      <c r="CM11" s="119"/>
      <c r="CN11" s="119"/>
      <c r="CO11" s="119"/>
      <c r="CP11" s="119"/>
      <c r="CQ11" s="119"/>
      <c r="CR11" s="119"/>
      <c r="CS11" s="119"/>
      <c r="CT11" s="119"/>
      <c r="CU11" s="119"/>
      <c r="CV11" s="119"/>
      <c r="CW11" s="119"/>
      <c r="CX11" s="119"/>
      <c r="CY11" s="119"/>
      <c r="CZ11" s="119"/>
      <c r="DA11" s="119"/>
      <c r="DB11" s="119"/>
      <c r="DC11" s="119"/>
      <c r="DD11" s="119"/>
      <c r="DE11" s="119"/>
      <c r="DF11" s="119"/>
      <c r="DG11" s="119"/>
      <c r="DH11" s="119"/>
      <c r="DI11" s="119"/>
      <c r="DJ11" s="119"/>
      <c r="DK11" s="119"/>
      <c r="DL11" s="119"/>
      <c r="DM11" s="119"/>
      <c r="DN11" s="119"/>
      <c r="DO11" s="119"/>
      <c r="DP11" s="119"/>
      <c r="DQ11" s="119"/>
      <c r="DR11" s="119"/>
      <c r="DS11" s="119"/>
      <c r="DT11" s="119"/>
      <c r="DU11" s="119"/>
      <c r="DV11" s="119"/>
      <c r="DW11" s="119"/>
      <c r="DX11" s="119"/>
      <c r="DY11" s="119"/>
      <c r="DZ11" s="119"/>
      <c r="EA11" s="119"/>
      <c r="EB11" s="119"/>
      <c r="EC11" s="119"/>
      <c r="ED11" s="119"/>
      <c r="EE11" s="119"/>
      <c r="EF11" s="119"/>
      <c r="EG11" s="119"/>
      <c r="EH11" s="119"/>
      <c r="EI11" s="119"/>
      <c r="EJ11" s="119"/>
      <c r="EK11" s="119"/>
      <c r="EL11" s="119"/>
      <c r="EM11" s="119"/>
      <c r="EN11" s="119"/>
      <c r="EO11" s="119"/>
      <c r="EP11" s="119"/>
      <c r="EQ11" s="119"/>
      <c r="ER11" s="119"/>
      <c r="ES11" s="119"/>
      <c r="ET11" s="119"/>
      <c r="EU11" s="119"/>
      <c r="EV11" s="119"/>
      <c r="EW11" s="119"/>
      <c r="EX11" s="119"/>
      <c r="EY11" s="119"/>
      <c r="EZ11" s="119"/>
      <c r="FA11" s="119"/>
      <c r="FB11" s="119"/>
      <c r="FC11" s="119"/>
      <c r="FD11" s="119"/>
      <c r="FE11" s="119"/>
      <c r="FF11" s="119"/>
      <c r="FG11" s="119"/>
      <c r="FH11" s="119"/>
      <c r="FI11" s="119"/>
      <c r="FJ11" s="119"/>
      <c r="FK11" s="119"/>
      <c r="FL11" s="119"/>
      <c r="FM11" s="119"/>
      <c r="FN11" s="119"/>
      <c r="FO11" s="119"/>
      <c r="FP11" s="119"/>
      <c r="FQ11" s="119"/>
      <c r="FR11" s="119"/>
      <c r="FS11" s="119"/>
      <c r="FT11" s="119"/>
      <c r="FU11" s="119"/>
      <c r="FV11" s="119"/>
      <c r="FW11" s="119"/>
      <c r="FX11" s="119"/>
      <c r="FY11" s="119"/>
      <c r="FZ11" s="119"/>
      <c r="GA11" s="119"/>
      <c r="GB11" s="119"/>
      <c r="GC11" s="119"/>
      <c r="GD11" s="119"/>
      <c r="GE11" s="119"/>
      <c r="GF11" s="119"/>
      <c r="GG11" s="119"/>
      <c r="GH11" s="119"/>
      <c r="GI11" s="119"/>
      <c r="GJ11" s="119"/>
      <c r="GK11" s="119"/>
      <c r="GL11" s="119"/>
      <c r="GM11" s="119"/>
      <c r="GN11" s="119"/>
      <c r="GO11" s="119"/>
      <c r="GP11" s="119"/>
      <c r="GQ11" s="119"/>
      <c r="GR11" s="119"/>
      <c r="GS11" s="119"/>
      <c r="GT11" s="119"/>
      <c r="GU11" s="119"/>
      <c r="GV11" s="119"/>
      <c r="GW11" s="119"/>
      <c r="GX11" s="119"/>
      <c r="GY11" s="119"/>
      <c r="GZ11" s="119"/>
      <c r="HA11" s="119"/>
      <c r="HB11" s="119"/>
      <c r="HC11" s="119"/>
      <c r="HD11" s="119"/>
      <c r="HE11" s="119"/>
      <c r="HF11" s="119"/>
      <c r="HG11" s="119"/>
      <c r="HH11" s="119"/>
      <c r="HI11" s="119"/>
      <c r="HJ11" s="119"/>
      <c r="HK11" s="119"/>
      <c r="HL11" s="119"/>
      <c r="HM11" s="119"/>
      <c r="HN11" s="119"/>
      <c r="HO11" s="119"/>
      <c r="HP11" s="119"/>
      <c r="HQ11" s="119"/>
      <c r="HR11" s="119"/>
      <c r="HS11" s="119"/>
      <c r="HT11" s="119"/>
      <c r="HU11" s="119"/>
      <c r="HV11" s="119"/>
      <c r="HW11" s="119"/>
      <c r="HX11" s="119"/>
      <c r="HY11" s="119"/>
      <c r="HZ11" s="119"/>
      <c r="IA11" s="119"/>
      <c r="IB11" s="119"/>
      <c r="IC11" s="119"/>
      <c r="ID11" s="119"/>
      <c r="IE11" s="119"/>
      <c r="IF11" s="119"/>
      <c r="IG11" s="119"/>
      <c r="IH11" s="119"/>
      <c r="II11" s="119"/>
      <c r="IJ11" s="119"/>
      <c r="IK11" s="119"/>
      <c r="IL11" s="119"/>
      <c r="IM11" s="119"/>
      <c r="IN11" s="119"/>
      <c r="IO11" s="119"/>
      <c r="IP11" s="119"/>
      <c r="IQ11" s="119"/>
      <c r="IR11" s="119"/>
      <c r="IS11" s="119"/>
      <c r="IT11" s="119"/>
      <c r="IU11" s="119"/>
      <c r="IV11" s="119"/>
      <c r="IW11" s="119"/>
    </row>
    <row r="12" spans="1:257" ht="18" customHeight="1" x14ac:dyDescent="0.35">
      <c r="A12" s="195">
        <v>3</v>
      </c>
      <c r="B12" s="173"/>
      <c r="C12" s="133"/>
      <c r="D12" s="221" t="s">
        <v>245</v>
      </c>
      <c r="E12" s="127"/>
      <c r="F12" s="127"/>
      <c r="G12" s="128"/>
      <c r="H12" s="224"/>
      <c r="I12" s="275"/>
      <c r="J12" s="219"/>
      <c r="K12" s="219">
        <v>24190</v>
      </c>
      <c r="L12" s="219"/>
      <c r="M12" s="219"/>
      <c r="N12" s="228"/>
      <c r="O12" s="1780"/>
      <c r="P12" s="217">
        <f>SUM(I12:N12)</f>
        <v>24190</v>
      </c>
      <c r="Q12" s="189"/>
    </row>
    <row r="13" spans="1:257" ht="18" customHeight="1" x14ac:dyDescent="0.35">
      <c r="A13" s="195">
        <v>4</v>
      </c>
      <c r="B13" s="1245"/>
      <c r="C13" s="871"/>
      <c r="D13" s="1266" t="s">
        <v>808</v>
      </c>
      <c r="E13" s="127"/>
      <c r="F13" s="238"/>
      <c r="G13" s="576"/>
      <c r="H13" s="240"/>
      <c r="I13" s="1270"/>
      <c r="J13" s="1270"/>
      <c r="K13" s="1270">
        <v>24190</v>
      </c>
      <c r="L13" s="1270"/>
      <c r="M13" s="1270"/>
      <c r="N13" s="1271"/>
      <c r="O13" s="576"/>
      <c r="P13" s="1272">
        <f>SUM(I13:N13)</f>
        <v>24190</v>
      </c>
      <c r="Q13" s="235"/>
    </row>
    <row r="14" spans="1:257" ht="18" customHeight="1" x14ac:dyDescent="0.35">
      <c r="A14" s="195">
        <v>5</v>
      </c>
      <c r="B14" s="1245"/>
      <c r="C14" s="871"/>
      <c r="D14" s="1265" t="s">
        <v>656</v>
      </c>
      <c r="E14" s="127"/>
      <c r="F14" s="238"/>
      <c r="G14" s="576"/>
      <c r="H14" s="240"/>
      <c r="I14" s="1273"/>
      <c r="J14" s="1273"/>
      <c r="K14" s="1273"/>
      <c r="L14" s="1273"/>
      <c r="M14" s="1273"/>
      <c r="N14" s="1273"/>
      <c r="O14" s="1781"/>
      <c r="P14" s="1274">
        <f>SUM(I14:N14)</f>
        <v>0</v>
      </c>
      <c r="Q14" s="235"/>
    </row>
    <row r="15" spans="1:257" ht="18" customHeight="1" x14ac:dyDescent="0.35">
      <c r="A15" s="195">
        <v>6</v>
      </c>
      <c r="B15" s="1245"/>
      <c r="C15" s="871"/>
      <c r="D15" s="1266" t="s">
        <v>862</v>
      </c>
      <c r="E15" s="127"/>
      <c r="F15" s="238"/>
      <c r="G15" s="576"/>
      <c r="H15" s="240"/>
      <c r="I15" s="1270"/>
      <c r="J15" s="1270"/>
      <c r="K15" s="1270">
        <f>SUM(K13:K14)</f>
        <v>24190</v>
      </c>
      <c r="L15" s="1270"/>
      <c r="M15" s="1270"/>
      <c r="N15" s="1271"/>
      <c r="O15" s="576"/>
      <c r="P15" s="1272">
        <f t="shared" ref="P15" si="0">SUM(I15:N15)</f>
        <v>24190</v>
      </c>
      <c r="Q15" s="235"/>
    </row>
    <row r="16" spans="1:257" ht="35.25" customHeight="1" x14ac:dyDescent="0.35">
      <c r="A16" s="195">
        <v>7</v>
      </c>
      <c r="B16" s="575"/>
      <c r="C16" s="548">
        <v>16</v>
      </c>
      <c r="D16" s="272" t="s">
        <v>405</v>
      </c>
      <c r="E16" s="547">
        <f>F16+G16+P20+Q17+348+3876</f>
        <v>27010</v>
      </c>
      <c r="F16" s="583">
        <v>3451</v>
      </c>
      <c r="G16" s="579">
        <f>2981+6090</f>
        <v>9071</v>
      </c>
      <c r="H16" s="578" t="s">
        <v>24</v>
      </c>
      <c r="I16" s="549"/>
      <c r="J16" s="549"/>
      <c r="K16" s="549"/>
      <c r="L16" s="549"/>
      <c r="M16" s="549"/>
      <c r="N16" s="577"/>
      <c r="O16" s="1782"/>
      <c r="P16" s="236"/>
      <c r="Q16" s="235"/>
    </row>
    <row r="17" spans="1:257" s="187" customFormat="1" ht="18" customHeight="1" x14ac:dyDescent="0.35">
      <c r="A17" s="195">
        <v>8</v>
      </c>
      <c r="B17" s="575"/>
      <c r="C17" s="548"/>
      <c r="D17" s="237" t="s">
        <v>245</v>
      </c>
      <c r="E17" s="238"/>
      <c r="F17" s="238"/>
      <c r="G17" s="576"/>
      <c r="H17" s="240"/>
      <c r="I17" s="549">
        <v>117</v>
      </c>
      <c r="J17" s="549">
        <v>34</v>
      </c>
      <c r="K17" s="549">
        <v>13989</v>
      </c>
      <c r="L17" s="549"/>
      <c r="M17" s="549"/>
      <c r="N17" s="577"/>
      <c r="O17" s="1782"/>
      <c r="P17" s="236">
        <f>SUM(I17:N17)</f>
        <v>14140</v>
      </c>
      <c r="Q17" s="580"/>
      <c r="R17" s="119"/>
      <c r="S17" s="119"/>
      <c r="T17" s="119"/>
      <c r="U17" s="119"/>
      <c r="V17" s="119"/>
      <c r="W17" s="119"/>
      <c r="X17" s="119"/>
      <c r="Y17" s="119"/>
      <c r="Z17" s="119"/>
      <c r="AA17" s="119"/>
      <c r="AB17" s="119"/>
      <c r="AC17" s="119"/>
      <c r="AD17" s="119"/>
      <c r="AE17" s="119"/>
      <c r="AF17" s="119"/>
      <c r="AG17" s="119"/>
      <c r="AH17" s="119"/>
      <c r="AI17" s="119"/>
      <c r="AJ17" s="119"/>
      <c r="AK17" s="119"/>
      <c r="AL17" s="119"/>
      <c r="AM17" s="119"/>
      <c r="AN17" s="119"/>
      <c r="AO17" s="119"/>
      <c r="AP17" s="119"/>
      <c r="AQ17" s="119"/>
      <c r="AR17" s="119"/>
      <c r="AS17" s="119"/>
      <c r="AT17" s="119"/>
      <c r="AU17" s="119"/>
      <c r="AV17" s="119"/>
      <c r="AW17" s="119"/>
      <c r="AX17" s="119"/>
      <c r="AY17" s="119"/>
      <c r="AZ17" s="119"/>
      <c r="BA17" s="119"/>
      <c r="BB17" s="119"/>
      <c r="BC17" s="119"/>
      <c r="BD17" s="119"/>
      <c r="BE17" s="119"/>
      <c r="BF17" s="119"/>
      <c r="BG17" s="119"/>
      <c r="BH17" s="119"/>
      <c r="BI17" s="119"/>
      <c r="BJ17" s="119"/>
      <c r="BK17" s="119"/>
      <c r="BL17" s="119"/>
      <c r="BM17" s="119"/>
      <c r="BN17" s="119"/>
      <c r="BO17" s="119"/>
      <c r="BP17" s="119"/>
      <c r="BQ17" s="119"/>
      <c r="BR17" s="119"/>
      <c r="BS17" s="119"/>
      <c r="BT17" s="119"/>
      <c r="BU17" s="119"/>
      <c r="BV17" s="119"/>
      <c r="BW17" s="119"/>
      <c r="BX17" s="119"/>
      <c r="BY17" s="119"/>
      <c r="BZ17" s="119"/>
      <c r="CA17" s="119"/>
      <c r="CB17" s="119"/>
      <c r="CC17" s="119"/>
      <c r="CD17" s="119"/>
      <c r="CE17" s="119"/>
      <c r="CF17" s="119"/>
      <c r="CG17" s="119"/>
      <c r="CH17" s="119"/>
      <c r="CI17" s="119"/>
      <c r="CJ17" s="119"/>
      <c r="CK17" s="119"/>
      <c r="CL17" s="119"/>
      <c r="CM17" s="119"/>
      <c r="CN17" s="119"/>
      <c r="CO17" s="119"/>
      <c r="CP17" s="119"/>
      <c r="CQ17" s="119"/>
      <c r="CR17" s="119"/>
      <c r="CS17" s="119"/>
      <c r="CT17" s="119"/>
      <c r="CU17" s="119"/>
      <c r="CV17" s="119"/>
      <c r="CW17" s="119"/>
      <c r="CX17" s="119"/>
      <c r="CY17" s="119"/>
      <c r="CZ17" s="119"/>
      <c r="DA17" s="119"/>
      <c r="DB17" s="119"/>
      <c r="DC17" s="119"/>
      <c r="DD17" s="119"/>
      <c r="DE17" s="119"/>
      <c r="DF17" s="119"/>
      <c r="DG17" s="119"/>
      <c r="DH17" s="119"/>
      <c r="DI17" s="119"/>
      <c r="DJ17" s="119"/>
      <c r="DK17" s="119"/>
      <c r="DL17" s="119"/>
      <c r="DM17" s="119"/>
      <c r="DN17" s="119"/>
      <c r="DO17" s="119"/>
      <c r="DP17" s="119"/>
      <c r="DQ17" s="119"/>
      <c r="DR17" s="119"/>
      <c r="DS17" s="119"/>
      <c r="DT17" s="119"/>
      <c r="DU17" s="119"/>
      <c r="DV17" s="119"/>
      <c r="DW17" s="119"/>
      <c r="DX17" s="119"/>
      <c r="DY17" s="119"/>
      <c r="DZ17" s="119"/>
      <c r="EA17" s="119"/>
      <c r="EB17" s="119"/>
      <c r="EC17" s="119"/>
      <c r="ED17" s="119"/>
      <c r="EE17" s="119"/>
      <c r="EF17" s="119"/>
      <c r="EG17" s="119"/>
      <c r="EH17" s="119"/>
      <c r="EI17" s="119"/>
      <c r="EJ17" s="119"/>
      <c r="EK17" s="119"/>
      <c r="EL17" s="119"/>
      <c r="EM17" s="119"/>
      <c r="EN17" s="119"/>
      <c r="EO17" s="119"/>
      <c r="EP17" s="119"/>
      <c r="EQ17" s="119"/>
      <c r="ER17" s="119"/>
      <c r="ES17" s="119"/>
      <c r="ET17" s="119"/>
      <c r="EU17" s="119"/>
      <c r="EV17" s="119"/>
      <c r="EW17" s="119"/>
      <c r="EX17" s="119"/>
      <c r="EY17" s="119"/>
      <c r="EZ17" s="119"/>
      <c r="FA17" s="119"/>
      <c r="FB17" s="119"/>
      <c r="FC17" s="119"/>
      <c r="FD17" s="119"/>
      <c r="FE17" s="119"/>
      <c r="FF17" s="119"/>
      <c r="FG17" s="119"/>
      <c r="FH17" s="119"/>
      <c r="FI17" s="119"/>
      <c r="FJ17" s="119"/>
      <c r="FK17" s="119"/>
      <c r="FL17" s="119"/>
      <c r="FM17" s="119"/>
      <c r="FN17" s="119"/>
      <c r="FO17" s="119"/>
      <c r="FP17" s="119"/>
      <c r="FQ17" s="119"/>
      <c r="FR17" s="119"/>
      <c r="FS17" s="119"/>
      <c r="FT17" s="119"/>
      <c r="FU17" s="119"/>
      <c r="FV17" s="119"/>
      <c r="FW17" s="119"/>
      <c r="FX17" s="119"/>
      <c r="FY17" s="119"/>
      <c r="FZ17" s="119"/>
      <c r="GA17" s="119"/>
      <c r="GB17" s="119"/>
      <c r="GC17" s="119"/>
      <c r="GD17" s="119"/>
      <c r="GE17" s="119"/>
      <c r="GF17" s="119"/>
      <c r="GG17" s="119"/>
      <c r="GH17" s="119"/>
      <c r="GI17" s="119"/>
      <c r="GJ17" s="119"/>
      <c r="GK17" s="119"/>
      <c r="GL17" s="119"/>
      <c r="GM17" s="119"/>
      <c r="GN17" s="119"/>
      <c r="GO17" s="119"/>
      <c r="GP17" s="119"/>
      <c r="GQ17" s="119"/>
      <c r="GR17" s="119"/>
      <c r="GS17" s="119"/>
      <c r="GT17" s="119"/>
      <c r="GU17" s="119"/>
      <c r="GV17" s="119"/>
      <c r="GW17" s="119"/>
      <c r="GX17" s="119"/>
      <c r="GY17" s="119"/>
      <c r="GZ17" s="119"/>
      <c r="HA17" s="119"/>
      <c r="HB17" s="119"/>
      <c r="HC17" s="119"/>
      <c r="HD17" s="119"/>
      <c r="HE17" s="119"/>
      <c r="HF17" s="119"/>
      <c r="HG17" s="119"/>
      <c r="HH17" s="119"/>
      <c r="HI17" s="119"/>
      <c r="HJ17" s="119"/>
      <c r="HK17" s="119"/>
      <c r="HL17" s="119"/>
      <c r="HM17" s="119"/>
      <c r="HN17" s="119"/>
      <c r="HO17" s="119"/>
      <c r="HP17" s="119"/>
      <c r="HQ17" s="119"/>
      <c r="HR17" s="119"/>
      <c r="HS17" s="119"/>
      <c r="HT17" s="119"/>
      <c r="HU17" s="119"/>
      <c r="HV17" s="119"/>
      <c r="HW17" s="119"/>
      <c r="HX17" s="119"/>
      <c r="HY17" s="119"/>
      <c r="HZ17" s="119"/>
      <c r="IA17" s="119"/>
      <c r="IB17" s="119"/>
      <c r="IC17" s="119"/>
      <c r="ID17" s="119"/>
      <c r="IE17" s="119"/>
      <c r="IF17" s="119"/>
      <c r="IG17" s="119"/>
      <c r="IH17" s="119"/>
      <c r="II17" s="119"/>
      <c r="IJ17" s="119"/>
      <c r="IK17" s="119"/>
      <c r="IL17" s="119"/>
      <c r="IM17" s="119"/>
      <c r="IN17" s="119"/>
      <c r="IO17" s="119"/>
      <c r="IP17" s="119"/>
      <c r="IQ17" s="119"/>
      <c r="IR17" s="119"/>
      <c r="IS17" s="119"/>
      <c r="IT17" s="119"/>
      <c r="IU17" s="119"/>
      <c r="IV17" s="119"/>
      <c r="IW17" s="119"/>
    </row>
    <row r="18" spans="1:257" s="187" customFormat="1" ht="18" customHeight="1" x14ac:dyDescent="0.35">
      <c r="A18" s="195">
        <v>9</v>
      </c>
      <c r="B18" s="575"/>
      <c r="C18" s="548"/>
      <c r="D18" s="1266" t="s">
        <v>808</v>
      </c>
      <c r="E18" s="238"/>
      <c r="F18" s="238"/>
      <c r="G18" s="576"/>
      <c r="H18" s="240"/>
      <c r="I18" s="1270">
        <v>500</v>
      </c>
      <c r="J18" s="1270">
        <v>145</v>
      </c>
      <c r="K18" s="1270">
        <v>9619</v>
      </c>
      <c r="L18" s="1270"/>
      <c r="M18" s="1270"/>
      <c r="N18" s="1271"/>
      <c r="O18" s="576"/>
      <c r="P18" s="1275">
        <f>SUM(I18:N18)</f>
        <v>10264</v>
      </c>
      <c r="Q18" s="1246"/>
      <c r="R18" s="119"/>
      <c r="S18" s="119"/>
      <c r="T18" s="119"/>
      <c r="U18" s="119"/>
      <c r="V18" s="119"/>
      <c r="W18" s="119"/>
      <c r="X18" s="119"/>
      <c r="Y18" s="119"/>
      <c r="Z18" s="119"/>
      <c r="AA18" s="119"/>
      <c r="AB18" s="119"/>
      <c r="AC18" s="119"/>
      <c r="AD18" s="119"/>
      <c r="AE18" s="119"/>
      <c r="AF18" s="119"/>
      <c r="AG18" s="119"/>
      <c r="AH18" s="119"/>
      <c r="AI18" s="119"/>
      <c r="AJ18" s="119"/>
      <c r="AK18" s="119"/>
      <c r="AL18" s="119"/>
      <c r="AM18" s="119"/>
      <c r="AN18" s="119"/>
      <c r="AO18" s="119"/>
      <c r="AP18" s="119"/>
      <c r="AQ18" s="119"/>
      <c r="AR18" s="119"/>
      <c r="AS18" s="119"/>
      <c r="AT18" s="119"/>
      <c r="AU18" s="119"/>
      <c r="AV18" s="119"/>
      <c r="AW18" s="119"/>
      <c r="AX18" s="119"/>
      <c r="AY18" s="119"/>
      <c r="AZ18" s="119"/>
      <c r="BA18" s="119"/>
      <c r="BB18" s="119"/>
      <c r="BC18" s="119"/>
      <c r="BD18" s="119"/>
      <c r="BE18" s="119"/>
      <c r="BF18" s="119"/>
      <c r="BG18" s="119"/>
      <c r="BH18" s="119"/>
      <c r="BI18" s="119"/>
      <c r="BJ18" s="119"/>
      <c r="BK18" s="119"/>
      <c r="BL18" s="119"/>
      <c r="BM18" s="119"/>
      <c r="BN18" s="119"/>
      <c r="BO18" s="119"/>
      <c r="BP18" s="119"/>
      <c r="BQ18" s="119"/>
      <c r="BR18" s="119"/>
      <c r="BS18" s="119"/>
      <c r="BT18" s="119"/>
      <c r="BU18" s="119"/>
      <c r="BV18" s="119"/>
      <c r="BW18" s="119"/>
      <c r="BX18" s="119"/>
      <c r="BY18" s="119"/>
      <c r="BZ18" s="119"/>
      <c r="CA18" s="119"/>
      <c r="CB18" s="119"/>
      <c r="CC18" s="119"/>
      <c r="CD18" s="119"/>
      <c r="CE18" s="119"/>
      <c r="CF18" s="119"/>
      <c r="CG18" s="119"/>
      <c r="CH18" s="119"/>
      <c r="CI18" s="119"/>
      <c r="CJ18" s="119"/>
      <c r="CK18" s="119"/>
      <c r="CL18" s="119"/>
      <c r="CM18" s="119"/>
      <c r="CN18" s="119"/>
      <c r="CO18" s="119"/>
      <c r="CP18" s="119"/>
      <c r="CQ18" s="119"/>
      <c r="CR18" s="119"/>
      <c r="CS18" s="119"/>
      <c r="CT18" s="119"/>
      <c r="CU18" s="119"/>
      <c r="CV18" s="119"/>
      <c r="CW18" s="119"/>
      <c r="CX18" s="119"/>
      <c r="CY18" s="119"/>
      <c r="CZ18" s="119"/>
      <c r="DA18" s="119"/>
      <c r="DB18" s="119"/>
      <c r="DC18" s="119"/>
      <c r="DD18" s="119"/>
      <c r="DE18" s="119"/>
      <c r="DF18" s="119"/>
      <c r="DG18" s="119"/>
      <c r="DH18" s="119"/>
      <c r="DI18" s="119"/>
      <c r="DJ18" s="119"/>
      <c r="DK18" s="119"/>
      <c r="DL18" s="119"/>
      <c r="DM18" s="119"/>
      <c r="DN18" s="119"/>
      <c r="DO18" s="119"/>
      <c r="DP18" s="119"/>
      <c r="DQ18" s="119"/>
      <c r="DR18" s="119"/>
      <c r="DS18" s="119"/>
      <c r="DT18" s="119"/>
      <c r="DU18" s="119"/>
      <c r="DV18" s="119"/>
      <c r="DW18" s="119"/>
      <c r="DX18" s="119"/>
      <c r="DY18" s="119"/>
      <c r="DZ18" s="119"/>
      <c r="EA18" s="119"/>
      <c r="EB18" s="119"/>
      <c r="EC18" s="119"/>
      <c r="ED18" s="119"/>
      <c r="EE18" s="119"/>
      <c r="EF18" s="119"/>
      <c r="EG18" s="119"/>
      <c r="EH18" s="119"/>
      <c r="EI18" s="119"/>
      <c r="EJ18" s="119"/>
      <c r="EK18" s="119"/>
      <c r="EL18" s="119"/>
      <c r="EM18" s="119"/>
      <c r="EN18" s="119"/>
      <c r="EO18" s="119"/>
      <c r="EP18" s="119"/>
      <c r="EQ18" s="119"/>
      <c r="ER18" s="119"/>
      <c r="ES18" s="119"/>
      <c r="ET18" s="119"/>
      <c r="EU18" s="119"/>
      <c r="EV18" s="119"/>
      <c r="EW18" s="119"/>
      <c r="EX18" s="119"/>
      <c r="EY18" s="119"/>
      <c r="EZ18" s="119"/>
      <c r="FA18" s="119"/>
      <c r="FB18" s="119"/>
      <c r="FC18" s="119"/>
      <c r="FD18" s="119"/>
      <c r="FE18" s="119"/>
      <c r="FF18" s="119"/>
      <c r="FG18" s="119"/>
      <c r="FH18" s="119"/>
      <c r="FI18" s="119"/>
      <c r="FJ18" s="119"/>
      <c r="FK18" s="119"/>
      <c r="FL18" s="119"/>
      <c r="FM18" s="119"/>
      <c r="FN18" s="119"/>
      <c r="FO18" s="119"/>
      <c r="FP18" s="119"/>
      <c r="FQ18" s="119"/>
      <c r="FR18" s="119"/>
      <c r="FS18" s="119"/>
      <c r="FT18" s="119"/>
      <c r="FU18" s="119"/>
      <c r="FV18" s="119"/>
      <c r="FW18" s="119"/>
      <c r="FX18" s="119"/>
      <c r="FY18" s="119"/>
      <c r="FZ18" s="119"/>
      <c r="GA18" s="119"/>
      <c r="GB18" s="119"/>
      <c r="GC18" s="119"/>
      <c r="GD18" s="119"/>
      <c r="GE18" s="119"/>
      <c r="GF18" s="119"/>
      <c r="GG18" s="119"/>
      <c r="GH18" s="119"/>
      <c r="GI18" s="119"/>
      <c r="GJ18" s="119"/>
      <c r="GK18" s="119"/>
      <c r="GL18" s="119"/>
      <c r="GM18" s="119"/>
      <c r="GN18" s="119"/>
      <c r="GO18" s="119"/>
      <c r="GP18" s="119"/>
      <c r="GQ18" s="119"/>
      <c r="GR18" s="119"/>
      <c r="GS18" s="119"/>
      <c r="GT18" s="119"/>
      <c r="GU18" s="119"/>
      <c r="GV18" s="119"/>
      <c r="GW18" s="119"/>
      <c r="GX18" s="119"/>
      <c r="GY18" s="119"/>
      <c r="GZ18" s="119"/>
      <c r="HA18" s="119"/>
      <c r="HB18" s="119"/>
      <c r="HC18" s="119"/>
      <c r="HD18" s="119"/>
      <c r="HE18" s="119"/>
      <c r="HF18" s="119"/>
      <c r="HG18" s="119"/>
      <c r="HH18" s="119"/>
      <c r="HI18" s="119"/>
      <c r="HJ18" s="119"/>
      <c r="HK18" s="119"/>
      <c r="HL18" s="119"/>
      <c r="HM18" s="119"/>
      <c r="HN18" s="119"/>
      <c r="HO18" s="119"/>
      <c r="HP18" s="119"/>
      <c r="HQ18" s="119"/>
      <c r="HR18" s="119"/>
      <c r="HS18" s="119"/>
      <c r="HT18" s="119"/>
      <c r="HU18" s="119"/>
      <c r="HV18" s="119"/>
      <c r="HW18" s="119"/>
      <c r="HX18" s="119"/>
      <c r="HY18" s="119"/>
      <c r="HZ18" s="119"/>
      <c r="IA18" s="119"/>
      <c r="IB18" s="119"/>
      <c r="IC18" s="119"/>
      <c r="ID18" s="119"/>
      <c r="IE18" s="119"/>
      <c r="IF18" s="119"/>
      <c r="IG18" s="119"/>
      <c r="IH18" s="119"/>
      <c r="II18" s="119"/>
      <c r="IJ18" s="119"/>
      <c r="IK18" s="119"/>
      <c r="IL18" s="119"/>
      <c r="IM18" s="119"/>
      <c r="IN18" s="119"/>
      <c r="IO18" s="119"/>
      <c r="IP18" s="119"/>
      <c r="IQ18" s="119"/>
      <c r="IR18" s="119"/>
      <c r="IS18" s="119"/>
      <c r="IT18" s="119"/>
      <c r="IU18" s="119"/>
      <c r="IV18" s="119"/>
      <c r="IW18" s="119"/>
    </row>
    <row r="19" spans="1:257" s="187" customFormat="1" ht="18" customHeight="1" x14ac:dyDescent="0.35">
      <c r="A19" s="195">
        <v>10</v>
      </c>
      <c r="B19" s="575"/>
      <c r="C19" s="548"/>
      <c r="D19" s="1265" t="s">
        <v>807</v>
      </c>
      <c r="E19" s="238"/>
      <c r="F19" s="238"/>
      <c r="G19" s="576"/>
      <c r="H19" s="240"/>
      <c r="I19" s="1273"/>
      <c r="J19" s="1273"/>
      <c r="K19" s="1273"/>
      <c r="L19" s="1273"/>
      <c r="M19" s="1273"/>
      <c r="N19" s="1273"/>
      <c r="O19" s="1781"/>
      <c r="P19" s="1276">
        <f t="shared" ref="P19:P20" si="1">SUM(I19:N19)</f>
        <v>0</v>
      </c>
      <c r="Q19" s="1246"/>
      <c r="R19" s="119"/>
      <c r="S19" s="119"/>
      <c r="T19" s="119"/>
      <c r="U19" s="119"/>
      <c r="V19" s="119"/>
      <c r="W19" s="119"/>
      <c r="X19" s="119"/>
      <c r="Y19" s="119"/>
      <c r="Z19" s="119"/>
      <c r="AA19" s="119"/>
      <c r="AB19" s="119"/>
      <c r="AC19" s="119"/>
      <c r="AD19" s="119"/>
      <c r="AE19" s="119"/>
      <c r="AF19" s="119"/>
      <c r="AG19" s="119"/>
      <c r="AH19" s="119"/>
      <c r="AI19" s="119"/>
      <c r="AJ19" s="119"/>
      <c r="AK19" s="119"/>
      <c r="AL19" s="119"/>
      <c r="AM19" s="119"/>
      <c r="AN19" s="119"/>
      <c r="AO19" s="119"/>
      <c r="AP19" s="119"/>
      <c r="AQ19" s="119"/>
      <c r="AR19" s="119"/>
      <c r="AS19" s="119"/>
      <c r="AT19" s="119"/>
      <c r="AU19" s="119"/>
      <c r="AV19" s="119"/>
      <c r="AW19" s="119"/>
      <c r="AX19" s="119"/>
      <c r="AY19" s="119"/>
      <c r="AZ19" s="119"/>
      <c r="BA19" s="119"/>
      <c r="BB19" s="119"/>
      <c r="BC19" s="119"/>
      <c r="BD19" s="119"/>
      <c r="BE19" s="119"/>
      <c r="BF19" s="119"/>
      <c r="BG19" s="119"/>
      <c r="BH19" s="119"/>
      <c r="BI19" s="119"/>
      <c r="BJ19" s="119"/>
      <c r="BK19" s="119"/>
      <c r="BL19" s="119"/>
      <c r="BM19" s="119"/>
      <c r="BN19" s="119"/>
      <c r="BO19" s="119"/>
      <c r="BP19" s="119"/>
      <c r="BQ19" s="119"/>
      <c r="BR19" s="119"/>
      <c r="BS19" s="119"/>
      <c r="BT19" s="119"/>
      <c r="BU19" s="119"/>
      <c r="BV19" s="119"/>
      <c r="BW19" s="119"/>
      <c r="BX19" s="119"/>
      <c r="BY19" s="119"/>
      <c r="BZ19" s="119"/>
      <c r="CA19" s="119"/>
      <c r="CB19" s="119"/>
      <c r="CC19" s="119"/>
      <c r="CD19" s="119"/>
      <c r="CE19" s="119"/>
      <c r="CF19" s="119"/>
      <c r="CG19" s="119"/>
      <c r="CH19" s="119"/>
      <c r="CI19" s="119"/>
      <c r="CJ19" s="119"/>
      <c r="CK19" s="119"/>
      <c r="CL19" s="119"/>
      <c r="CM19" s="119"/>
      <c r="CN19" s="119"/>
      <c r="CO19" s="119"/>
      <c r="CP19" s="119"/>
      <c r="CQ19" s="119"/>
      <c r="CR19" s="119"/>
      <c r="CS19" s="119"/>
      <c r="CT19" s="119"/>
      <c r="CU19" s="119"/>
      <c r="CV19" s="119"/>
      <c r="CW19" s="119"/>
      <c r="CX19" s="119"/>
      <c r="CY19" s="119"/>
      <c r="CZ19" s="119"/>
      <c r="DA19" s="119"/>
      <c r="DB19" s="119"/>
      <c r="DC19" s="119"/>
      <c r="DD19" s="119"/>
      <c r="DE19" s="119"/>
      <c r="DF19" s="119"/>
      <c r="DG19" s="119"/>
      <c r="DH19" s="119"/>
      <c r="DI19" s="119"/>
      <c r="DJ19" s="119"/>
      <c r="DK19" s="119"/>
      <c r="DL19" s="119"/>
      <c r="DM19" s="119"/>
      <c r="DN19" s="119"/>
      <c r="DO19" s="119"/>
      <c r="DP19" s="119"/>
      <c r="DQ19" s="119"/>
      <c r="DR19" s="119"/>
      <c r="DS19" s="119"/>
      <c r="DT19" s="119"/>
      <c r="DU19" s="119"/>
      <c r="DV19" s="119"/>
      <c r="DW19" s="119"/>
      <c r="DX19" s="119"/>
      <c r="DY19" s="119"/>
      <c r="DZ19" s="119"/>
      <c r="EA19" s="119"/>
      <c r="EB19" s="119"/>
      <c r="EC19" s="119"/>
      <c r="ED19" s="119"/>
      <c r="EE19" s="119"/>
      <c r="EF19" s="119"/>
      <c r="EG19" s="119"/>
      <c r="EH19" s="119"/>
      <c r="EI19" s="119"/>
      <c r="EJ19" s="119"/>
      <c r="EK19" s="119"/>
      <c r="EL19" s="119"/>
      <c r="EM19" s="119"/>
      <c r="EN19" s="119"/>
      <c r="EO19" s="119"/>
      <c r="EP19" s="119"/>
      <c r="EQ19" s="119"/>
      <c r="ER19" s="119"/>
      <c r="ES19" s="119"/>
      <c r="ET19" s="119"/>
      <c r="EU19" s="119"/>
      <c r="EV19" s="119"/>
      <c r="EW19" s="119"/>
      <c r="EX19" s="119"/>
      <c r="EY19" s="119"/>
      <c r="EZ19" s="119"/>
      <c r="FA19" s="119"/>
      <c r="FB19" s="119"/>
      <c r="FC19" s="119"/>
      <c r="FD19" s="119"/>
      <c r="FE19" s="119"/>
      <c r="FF19" s="119"/>
      <c r="FG19" s="119"/>
      <c r="FH19" s="119"/>
      <c r="FI19" s="119"/>
      <c r="FJ19" s="119"/>
      <c r="FK19" s="119"/>
      <c r="FL19" s="119"/>
      <c r="FM19" s="119"/>
      <c r="FN19" s="119"/>
      <c r="FO19" s="119"/>
      <c r="FP19" s="119"/>
      <c r="FQ19" s="119"/>
      <c r="FR19" s="119"/>
      <c r="FS19" s="119"/>
      <c r="FT19" s="119"/>
      <c r="FU19" s="119"/>
      <c r="FV19" s="119"/>
      <c r="FW19" s="119"/>
      <c r="FX19" s="119"/>
      <c r="FY19" s="119"/>
      <c r="FZ19" s="119"/>
      <c r="GA19" s="119"/>
      <c r="GB19" s="119"/>
      <c r="GC19" s="119"/>
      <c r="GD19" s="119"/>
      <c r="GE19" s="119"/>
      <c r="GF19" s="119"/>
      <c r="GG19" s="119"/>
      <c r="GH19" s="119"/>
      <c r="GI19" s="119"/>
      <c r="GJ19" s="119"/>
      <c r="GK19" s="119"/>
      <c r="GL19" s="119"/>
      <c r="GM19" s="119"/>
      <c r="GN19" s="119"/>
      <c r="GO19" s="119"/>
      <c r="GP19" s="119"/>
      <c r="GQ19" s="119"/>
      <c r="GR19" s="119"/>
      <c r="GS19" s="119"/>
      <c r="GT19" s="119"/>
      <c r="GU19" s="119"/>
      <c r="GV19" s="119"/>
      <c r="GW19" s="119"/>
      <c r="GX19" s="119"/>
      <c r="GY19" s="119"/>
      <c r="GZ19" s="119"/>
      <c r="HA19" s="119"/>
      <c r="HB19" s="119"/>
      <c r="HC19" s="119"/>
      <c r="HD19" s="119"/>
      <c r="HE19" s="119"/>
      <c r="HF19" s="119"/>
      <c r="HG19" s="119"/>
      <c r="HH19" s="119"/>
      <c r="HI19" s="119"/>
      <c r="HJ19" s="119"/>
      <c r="HK19" s="119"/>
      <c r="HL19" s="119"/>
      <c r="HM19" s="119"/>
      <c r="HN19" s="119"/>
      <c r="HO19" s="119"/>
      <c r="HP19" s="119"/>
      <c r="HQ19" s="119"/>
      <c r="HR19" s="119"/>
      <c r="HS19" s="119"/>
      <c r="HT19" s="119"/>
      <c r="HU19" s="119"/>
      <c r="HV19" s="119"/>
      <c r="HW19" s="119"/>
      <c r="HX19" s="119"/>
      <c r="HY19" s="119"/>
      <c r="HZ19" s="119"/>
      <c r="IA19" s="119"/>
      <c r="IB19" s="119"/>
      <c r="IC19" s="119"/>
      <c r="ID19" s="119"/>
      <c r="IE19" s="119"/>
      <c r="IF19" s="119"/>
      <c r="IG19" s="119"/>
      <c r="IH19" s="119"/>
      <c r="II19" s="119"/>
      <c r="IJ19" s="119"/>
      <c r="IK19" s="119"/>
      <c r="IL19" s="119"/>
      <c r="IM19" s="119"/>
      <c r="IN19" s="119"/>
      <c r="IO19" s="119"/>
      <c r="IP19" s="119"/>
      <c r="IQ19" s="119"/>
      <c r="IR19" s="119"/>
      <c r="IS19" s="119"/>
      <c r="IT19" s="119"/>
      <c r="IU19" s="119"/>
      <c r="IV19" s="119"/>
      <c r="IW19" s="119"/>
    </row>
    <row r="20" spans="1:257" s="187" customFormat="1" ht="18" customHeight="1" x14ac:dyDescent="0.35">
      <c r="A20" s="195">
        <v>11</v>
      </c>
      <c r="B20" s="575"/>
      <c r="C20" s="548"/>
      <c r="D20" s="1266" t="s">
        <v>862</v>
      </c>
      <c r="E20" s="238"/>
      <c r="F20" s="238"/>
      <c r="G20" s="576"/>
      <c r="H20" s="240"/>
      <c r="I20" s="1270">
        <f>SUM(I18:I19)</f>
        <v>500</v>
      </c>
      <c r="J20" s="1270">
        <f t="shared" ref="J20:K20" si="2">SUM(J18:J19)</f>
        <v>145</v>
      </c>
      <c r="K20" s="1270">
        <f t="shared" si="2"/>
        <v>9619</v>
      </c>
      <c r="L20" s="1270"/>
      <c r="M20" s="1270"/>
      <c r="N20" s="1271"/>
      <c r="O20" s="576"/>
      <c r="P20" s="1275">
        <f t="shared" si="1"/>
        <v>10264</v>
      </c>
      <c r="Q20" s="1246"/>
      <c r="R20" s="119"/>
      <c r="S20" s="119"/>
      <c r="T20" s="119"/>
      <c r="U20" s="119"/>
      <c r="V20" s="119"/>
      <c r="W20" s="119"/>
      <c r="X20" s="119"/>
      <c r="Y20" s="119"/>
      <c r="Z20" s="119"/>
      <c r="AA20" s="119"/>
      <c r="AB20" s="119"/>
      <c r="AC20" s="119"/>
      <c r="AD20" s="119"/>
      <c r="AE20" s="119"/>
      <c r="AF20" s="119"/>
      <c r="AG20" s="119"/>
      <c r="AH20" s="119"/>
      <c r="AI20" s="119"/>
      <c r="AJ20" s="119"/>
      <c r="AK20" s="119"/>
      <c r="AL20" s="119"/>
      <c r="AM20" s="119"/>
      <c r="AN20" s="119"/>
      <c r="AO20" s="119"/>
      <c r="AP20" s="119"/>
      <c r="AQ20" s="119"/>
      <c r="AR20" s="119"/>
      <c r="AS20" s="119"/>
      <c r="AT20" s="119"/>
      <c r="AU20" s="119"/>
      <c r="AV20" s="119"/>
      <c r="AW20" s="119"/>
      <c r="AX20" s="119"/>
      <c r="AY20" s="119"/>
      <c r="AZ20" s="119"/>
      <c r="BA20" s="119"/>
      <c r="BB20" s="119"/>
      <c r="BC20" s="119"/>
      <c r="BD20" s="119"/>
      <c r="BE20" s="119"/>
      <c r="BF20" s="119"/>
      <c r="BG20" s="119"/>
      <c r="BH20" s="119"/>
      <c r="BI20" s="119"/>
      <c r="BJ20" s="119"/>
      <c r="BK20" s="119"/>
      <c r="BL20" s="119"/>
      <c r="BM20" s="119"/>
      <c r="BN20" s="119"/>
      <c r="BO20" s="119"/>
      <c r="BP20" s="119"/>
      <c r="BQ20" s="119"/>
      <c r="BR20" s="119"/>
      <c r="BS20" s="119"/>
      <c r="BT20" s="119"/>
      <c r="BU20" s="119"/>
      <c r="BV20" s="119"/>
      <c r="BW20" s="119"/>
      <c r="BX20" s="119"/>
      <c r="BY20" s="119"/>
      <c r="BZ20" s="119"/>
      <c r="CA20" s="119"/>
      <c r="CB20" s="119"/>
      <c r="CC20" s="119"/>
      <c r="CD20" s="119"/>
      <c r="CE20" s="119"/>
      <c r="CF20" s="119"/>
      <c r="CG20" s="119"/>
      <c r="CH20" s="119"/>
      <c r="CI20" s="119"/>
      <c r="CJ20" s="119"/>
      <c r="CK20" s="119"/>
      <c r="CL20" s="119"/>
      <c r="CM20" s="119"/>
      <c r="CN20" s="119"/>
      <c r="CO20" s="119"/>
      <c r="CP20" s="119"/>
      <c r="CQ20" s="119"/>
      <c r="CR20" s="119"/>
      <c r="CS20" s="119"/>
      <c r="CT20" s="119"/>
      <c r="CU20" s="119"/>
      <c r="CV20" s="119"/>
      <c r="CW20" s="119"/>
      <c r="CX20" s="119"/>
      <c r="CY20" s="119"/>
      <c r="CZ20" s="119"/>
      <c r="DA20" s="119"/>
      <c r="DB20" s="119"/>
      <c r="DC20" s="119"/>
      <c r="DD20" s="119"/>
      <c r="DE20" s="119"/>
      <c r="DF20" s="119"/>
      <c r="DG20" s="119"/>
      <c r="DH20" s="119"/>
      <c r="DI20" s="119"/>
      <c r="DJ20" s="119"/>
      <c r="DK20" s="119"/>
      <c r="DL20" s="119"/>
      <c r="DM20" s="119"/>
      <c r="DN20" s="119"/>
      <c r="DO20" s="119"/>
      <c r="DP20" s="119"/>
      <c r="DQ20" s="119"/>
      <c r="DR20" s="119"/>
      <c r="DS20" s="119"/>
      <c r="DT20" s="119"/>
      <c r="DU20" s="119"/>
      <c r="DV20" s="119"/>
      <c r="DW20" s="119"/>
      <c r="DX20" s="119"/>
      <c r="DY20" s="119"/>
      <c r="DZ20" s="119"/>
      <c r="EA20" s="119"/>
      <c r="EB20" s="119"/>
      <c r="EC20" s="119"/>
      <c r="ED20" s="119"/>
      <c r="EE20" s="119"/>
      <c r="EF20" s="119"/>
      <c r="EG20" s="119"/>
      <c r="EH20" s="119"/>
      <c r="EI20" s="119"/>
      <c r="EJ20" s="119"/>
      <c r="EK20" s="119"/>
      <c r="EL20" s="119"/>
      <c r="EM20" s="119"/>
      <c r="EN20" s="119"/>
      <c r="EO20" s="119"/>
      <c r="EP20" s="119"/>
      <c r="EQ20" s="119"/>
      <c r="ER20" s="119"/>
      <c r="ES20" s="119"/>
      <c r="ET20" s="119"/>
      <c r="EU20" s="119"/>
      <c r="EV20" s="119"/>
      <c r="EW20" s="119"/>
      <c r="EX20" s="119"/>
      <c r="EY20" s="119"/>
      <c r="EZ20" s="119"/>
      <c r="FA20" s="119"/>
      <c r="FB20" s="119"/>
      <c r="FC20" s="119"/>
      <c r="FD20" s="119"/>
      <c r="FE20" s="119"/>
      <c r="FF20" s="119"/>
      <c r="FG20" s="119"/>
      <c r="FH20" s="119"/>
      <c r="FI20" s="119"/>
      <c r="FJ20" s="119"/>
      <c r="FK20" s="119"/>
      <c r="FL20" s="119"/>
      <c r="FM20" s="119"/>
      <c r="FN20" s="119"/>
      <c r="FO20" s="119"/>
      <c r="FP20" s="119"/>
      <c r="FQ20" s="119"/>
      <c r="FR20" s="119"/>
      <c r="FS20" s="119"/>
      <c r="FT20" s="119"/>
      <c r="FU20" s="119"/>
      <c r="FV20" s="119"/>
      <c r="FW20" s="119"/>
      <c r="FX20" s="119"/>
      <c r="FY20" s="119"/>
      <c r="FZ20" s="119"/>
      <c r="GA20" s="119"/>
      <c r="GB20" s="119"/>
      <c r="GC20" s="119"/>
      <c r="GD20" s="119"/>
      <c r="GE20" s="119"/>
      <c r="GF20" s="119"/>
      <c r="GG20" s="119"/>
      <c r="GH20" s="119"/>
      <c r="GI20" s="119"/>
      <c r="GJ20" s="119"/>
      <c r="GK20" s="119"/>
      <c r="GL20" s="119"/>
      <c r="GM20" s="119"/>
      <c r="GN20" s="119"/>
      <c r="GO20" s="119"/>
      <c r="GP20" s="119"/>
      <c r="GQ20" s="119"/>
      <c r="GR20" s="119"/>
      <c r="GS20" s="119"/>
      <c r="GT20" s="119"/>
      <c r="GU20" s="119"/>
      <c r="GV20" s="119"/>
      <c r="GW20" s="119"/>
      <c r="GX20" s="119"/>
      <c r="GY20" s="119"/>
      <c r="GZ20" s="119"/>
      <c r="HA20" s="119"/>
      <c r="HB20" s="119"/>
      <c r="HC20" s="119"/>
      <c r="HD20" s="119"/>
      <c r="HE20" s="119"/>
      <c r="HF20" s="119"/>
      <c r="HG20" s="119"/>
      <c r="HH20" s="119"/>
      <c r="HI20" s="119"/>
      <c r="HJ20" s="119"/>
      <c r="HK20" s="119"/>
      <c r="HL20" s="119"/>
      <c r="HM20" s="119"/>
      <c r="HN20" s="119"/>
      <c r="HO20" s="119"/>
      <c r="HP20" s="119"/>
      <c r="HQ20" s="119"/>
      <c r="HR20" s="119"/>
      <c r="HS20" s="119"/>
      <c r="HT20" s="119"/>
      <c r="HU20" s="119"/>
      <c r="HV20" s="119"/>
      <c r="HW20" s="119"/>
      <c r="HX20" s="119"/>
      <c r="HY20" s="119"/>
      <c r="HZ20" s="119"/>
      <c r="IA20" s="119"/>
      <c r="IB20" s="119"/>
      <c r="IC20" s="119"/>
      <c r="ID20" s="119"/>
      <c r="IE20" s="119"/>
      <c r="IF20" s="119"/>
      <c r="IG20" s="119"/>
      <c r="IH20" s="119"/>
      <c r="II20" s="119"/>
      <c r="IJ20" s="119"/>
      <c r="IK20" s="119"/>
      <c r="IL20" s="119"/>
      <c r="IM20" s="119"/>
      <c r="IN20" s="119"/>
      <c r="IO20" s="119"/>
      <c r="IP20" s="119"/>
      <c r="IQ20" s="119"/>
      <c r="IR20" s="119"/>
      <c r="IS20" s="119"/>
      <c r="IT20" s="119"/>
      <c r="IU20" s="119"/>
      <c r="IV20" s="119"/>
      <c r="IW20" s="119"/>
    </row>
    <row r="21" spans="1:257" ht="66" x14ac:dyDescent="0.35">
      <c r="A21" s="195">
        <v>12</v>
      </c>
      <c r="B21" s="575"/>
      <c r="C21" s="548">
        <v>17</v>
      </c>
      <c r="D21" s="272" t="s">
        <v>406</v>
      </c>
      <c r="E21" s="547">
        <f>F21+G21+P25+Q22+501+3268</f>
        <v>25315</v>
      </c>
      <c r="F21" s="583">
        <v>3651</v>
      </c>
      <c r="G21" s="579">
        <f>4280+3757</f>
        <v>8037</v>
      </c>
      <c r="H21" s="578" t="s">
        <v>24</v>
      </c>
      <c r="I21" s="549"/>
      <c r="J21" s="549"/>
      <c r="K21" s="549"/>
      <c r="L21" s="549"/>
      <c r="M21" s="549"/>
      <c r="N21" s="577"/>
      <c r="O21" s="1782"/>
      <c r="P21" s="236"/>
      <c r="Q21" s="235"/>
    </row>
    <row r="22" spans="1:257" s="187" customFormat="1" ht="18" customHeight="1" x14ac:dyDescent="0.35">
      <c r="A22" s="195">
        <v>13</v>
      </c>
      <c r="B22" s="575"/>
      <c r="C22" s="548"/>
      <c r="D22" s="237" t="s">
        <v>245</v>
      </c>
      <c r="E22" s="238"/>
      <c r="F22" s="238"/>
      <c r="G22" s="576"/>
      <c r="H22" s="240"/>
      <c r="I22" s="549">
        <v>562</v>
      </c>
      <c r="J22" s="549">
        <v>7</v>
      </c>
      <c r="K22" s="549">
        <v>11873</v>
      </c>
      <c r="L22" s="549"/>
      <c r="M22" s="549">
        <v>684</v>
      </c>
      <c r="N22" s="577"/>
      <c r="O22" s="1782"/>
      <c r="P22" s="236">
        <f>SUM(I22:N22)</f>
        <v>13126</v>
      </c>
      <c r="Q22" s="580"/>
      <c r="R22" s="119"/>
      <c r="S22" s="119"/>
      <c r="T22" s="119"/>
      <c r="U22" s="119"/>
      <c r="V22" s="119"/>
      <c r="W22" s="119"/>
      <c r="X22" s="119"/>
      <c r="Y22" s="119"/>
      <c r="Z22" s="119"/>
      <c r="AA22" s="119"/>
      <c r="AB22" s="119"/>
      <c r="AC22" s="119"/>
      <c r="AD22" s="119"/>
      <c r="AE22" s="119"/>
      <c r="AF22" s="119"/>
      <c r="AG22" s="119"/>
      <c r="AH22" s="119"/>
      <c r="AI22" s="119"/>
      <c r="AJ22" s="119"/>
      <c r="AK22" s="119"/>
      <c r="AL22" s="119"/>
      <c r="AM22" s="119"/>
      <c r="AN22" s="119"/>
      <c r="AO22" s="119"/>
      <c r="AP22" s="119"/>
      <c r="AQ22" s="119"/>
      <c r="AR22" s="119"/>
      <c r="AS22" s="119"/>
      <c r="AT22" s="119"/>
      <c r="AU22" s="119"/>
      <c r="AV22" s="119"/>
      <c r="AW22" s="119"/>
      <c r="AX22" s="119"/>
      <c r="AY22" s="119"/>
      <c r="AZ22" s="119"/>
      <c r="BA22" s="119"/>
      <c r="BB22" s="119"/>
      <c r="BC22" s="119"/>
      <c r="BD22" s="119"/>
      <c r="BE22" s="119"/>
      <c r="BF22" s="119"/>
      <c r="BG22" s="119"/>
      <c r="BH22" s="119"/>
      <c r="BI22" s="119"/>
      <c r="BJ22" s="119"/>
      <c r="BK22" s="119"/>
      <c r="BL22" s="119"/>
      <c r="BM22" s="119"/>
      <c r="BN22" s="119"/>
      <c r="BO22" s="119"/>
      <c r="BP22" s="119"/>
      <c r="BQ22" s="119"/>
      <c r="BR22" s="119"/>
      <c r="BS22" s="119"/>
      <c r="BT22" s="119"/>
      <c r="BU22" s="119"/>
      <c r="BV22" s="119"/>
      <c r="BW22" s="119"/>
      <c r="BX22" s="119"/>
      <c r="BY22" s="119"/>
      <c r="BZ22" s="119"/>
      <c r="CA22" s="119"/>
      <c r="CB22" s="119"/>
      <c r="CC22" s="119"/>
      <c r="CD22" s="119"/>
      <c r="CE22" s="119"/>
      <c r="CF22" s="119"/>
      <c r="CG22" s="119"/>
      <c r="CH22" s="119"/>
      <c r="CI22" s="119"/>
      <c r="CJ22" s="119"/>
      <c r="CK22" s="119"/>
      <c r="CL22" s="119"/>
      <c r="CM22" s="119"/>
      <c r="CN22" s="119"/>
      <c r="CO22" s="119"/>
      <c r="CP22" s="119"/>
      <c r="CQ22" s="119"/>
      <c r="CR22" s="119"/>
      <c r="CS22" s="119"/>
      <c r="CT22" s="119"/>
      <c r="CU22" s="119"/>
      <c r="CV22" s="119"/>
      <c r="CW22" s="119"/>
      <c r="CX22" s="119"/>
      <c r="CY22" s="119"/>
      <c r="CZ22" s="119"/>
      <c r="DA22" s="119"/>
      <c r="DB22" s="119"/>
      <c r="DC22" s="119"/>
      <c r="DD22" s="119"/>
      <c r="DE22" s="119"/>
      <c r="DF22" s="119"/>
      <c r="DG22" s="119"/>
      <c r="DH22" s="119"/>
      <c r="DI22" s="119"/>
      <c r="DJ22" s="119"/>
      <c r="DK22" s="119"/>
      <c r="DL22" s="119"/>
      <c r="DM22" s="119"/>
      <c r="DN22" s="119"/>
      <c r="DO22" s="119"/>
      <c r="DP22" s="119"/>
      <c r="DQ22" s="119"/>
      <c r="DR22" s="119"/>
      <c r="DS22" s="119"/>
      <c r="DT22" s="119"/>
      <c r="DU22" s="119"/>
      <c r="DV22" s="119"/>
      <c r="DW22" s="119"/>
      <c r="DX22" s="119"/>
      <c r="DY22" s="119"/>
      <c r="DZ22" s="119"/>
      <c r="EA22" s="119"/>
      <c r="EB22" s="119"/>
      <c r="EC22" s="119"/>
      <c r="ED22" s="119"/>
      <c r="EE22" s="119"/>
      <c r="EF22" s="119"/>
      <c r="EG22" s="119"/>
      <c r="EH22" s="119"/>
      <c r="EI22" s="119"/>
      <c r="EJ22" s="119"/>
      <c r="EK22" s="119"/>
      <c r="EL22" s="119"/>
      <c r="EM22" s="119"/>
      <c r="EN22" s="119"/>
      <c r="EO22" s="119"/>
      <c r="EP22" s="119"/>
      <c r="EQ22" s="119"/>
      <c r="ER22" s="119"/>
      <c r="ES22" s="119"/>
      <c r="ET22" s="119"/>
      <c r="EU22" s="119"/>
      <c r="EV22" s="119"/>
      <c r="EW22" s="119"/>
      <c r="EX22" s="119"/>
      <c r="EY22" s="119"/>
      <c r="EZ22" s="119"/>
      <c r="FA22" s="119"/>
      <c r="FB22" s="119"/>
      <c r="FC22" s="119"/>
      <c r="FD22" s="119"/>
      <c r="FE22" s="119"/>
      <c r="FF22" s="119"/>
      <c r="FG22" s="119"/>
      <c r="FH22" s="119"/>
      <c r="FI22" s="119"/>
      <c r="FJ22" s="119"/>
      <c r="FK22" s="119"/>
      <c r="FL22" s="119"/>
      <c r="FM22" s="119"/>
      <c r="FN22" s="119"/>
      <c r="FO22" s="119"/>
      <c r="FP22" s="119"/>
      <c r="FQ22" s="119"/>
      <c r="FR22" s="119"/>
      <c r="FS22" s="119"/>
      <c r="FT22" s="119"/>
      <c r="FU22" s="119"/>
      <c r="FV22" s="119"/>
      <c r="FW22" s="119"/>
      <c r="FX22" s="119"/>
      <c r="FY22" s="119"/>
      <c r="FZ22" s="119"/>
      <c r="GA22" s="119"/>
      <c r="GB22" s="119"/>
      <c r="GC22" s="119"/>
      <c r="GD22" s="119"/>
      <c r="GE22" s="119"/>
      <c r="GF22" s="119"/>
      <c r="GG22" s="119"/>
      <c r="GH22" s="119"/>
      <c r="GI22" s="119"/>
      <c r="GJ22" s="119"/>
      <c r="GK22" s="119"/>
      <c r="GL22" s="119"/>
      <c r="GM22" s="119"/>
      <c r="GN22" s="119"/>
      <c r="GO22" s="119"/>
      <c r="GP22" s="119"/>
      <c r="GQ22" s="119"/>
      <c r="GR22" s="119"/>
      <c r="GS22" s="119"/>
      <c r="GT22" s="119"/>
      <c r="GU22" s="119"/>
      <c r="GV22" s="119"/>
      <c r="GW22" s="119"/>
      <c r="GX22" s="119"/>
      <c r="GY22" s="119"/>
      <c r="GZ22" s="119"/>
      <c r="HA22" s="119"/>
      <c r="HB22" s="119"/>
      <c r="HC22" s="119"/>
      <c r="HD22" s="119"/>
      <c r="HE22" s="119"/>
      <c r="HF22" s="119"/>
      <c r="HG22" s="119"/>
      <c r="HH22" s="119"/>
      <c r="HI22" s="119"/>
      <c r="HJ22" s="119"/>
      <c r="HK22" s="119"/>
      <c r="HL22" s="119"/>
      <c r="HM22" s="119"/>
      <c r="HN22" s="119"/>
      <c r="HO22" s="119"/>
      <c r="HP22" s="119"/>
      <c r="HQ22" s="119"/>
      <c r="HR22" s="119"/>
      <c r="HS22" s="119"/>
      <c r="HT22" s="119"/>
      <c r="HU22" s="119"/>
      <c r="HV22" s="119"/>
      <c r="HW22" s="119"/>
      <c r="HX22" s="119"/>
      <c r="HY22" s="119"/>
      <c r="HZ22" s="119"/>
      <c r="IA22" s="119"/>
      <c r="IB22" s="119"/>
      <c r="IC22" s="119"/>
      <c r="ID22" s="119"/>
      <c r="IE22" s="119"/>
      <c r="IF22" s="119"/>
      <c r="IG22" s="119"/>
      <c r="IH22" s="119"/>
      <c r="II22" s="119"/>
      <c r="IJ22" s="119"/>
      <c r="IK22" s="119"/>
      <c r="IL22" s="119"/>
      <c r="IM22" s="119"/>
      <c r="IN22" s="119"/>
      <c r="IO22" s="119"/>
      <c r="IP22" s="119"/>
      <c r="IQ22" s="119"/>
      <c r="IR22" s="119"/>
      <c r="IS22" s="119"/>
      <c r="IT22" s="119"/>
      <c r="IU22" s="119"/>
      <c r="IV22" s="119"/>
      <c r="IW22" s="119"/>
    </row>
    <row r="23" spans="1:257" s="187" customFormat="1" ht="18" customHeight="1" x14ac:dyDescent="0.35">
      <c r="A23" s="195">
        <v>14</v>
      </c>
      <c r="B23" s="575"/>
      <c r="C23" s="548"/>
      <c r="D23" s="1266" t="s">
        <v>808</v>
      </c>
      <c r="E23" s="238"/>
      <c r="F23" s="238"/>
      <c r="G23" s="576"/>
      <c r="H23" s="240"/>
      <c r="I23" s="1270">
        <v>562</v>
      </c>
      <c r="J23" s="1270">
        <v>163</v>
      </c>
      <c r="K23" s="1270">
        <v>9133</v>
      </c>
      <c r="L23" s="1270"/>
      <c r="M23" s="1270">
        <v>0</v>
      </c>
      <c r="N23" s="1271"/>
      <c r="O23" s="576"/>
      <c r="P23" s="1275">
        <f>SUM(I23:N23)</f>
        <v>9858</v>
      </c>
      <c r="Q23" s="1246"/>
      <c r="R23" s="119"/>
      <c r="S23" s="119"/>
      <c r="T23" s="119"/>
      <c r="U23" s="119"/>
      <c r="V23" s="119"/>
      <c r="W23" s="119"/>
      <c r="X23" s="119"/>
      <c r="Y23" s="119"/>
      <c r="Z23" s="119"/>
      <c r="AA23" s="119"/>
      <c r="AB23" s="119"/>
      <c r="AC23" s="119"/>
      <c r="AD23" s="119"/>
      <c r="AE23" s="119"/>
      <c r="AF23" s="119"/>
      <c r="AG23" s="119"/>
      <c r="AH23" s="119"/>
      <c r="AI23" s="119"/>
      <c r="AJ23" s="119"/>
      <c r="AK23" s="119"/>
      <c r="AL23" s="119"/>
      <c r="AM23" s="119"/>
      <c r="AN23" s="119"/>
      <c r="AO23" s="119"/>
      <c r="AP23" s="119"/>
      <c r="AQ23" s="119"/>
      <c r="AR23" s="119"/>
      <c r="AS23" s="119"/>
      <c r="AT23" s="119"/>
      <c r="AU23" s="119"/>
      <c r="AV23" s="119"/>
      <c r="AW23" s="119"/>
      <c r="AX23" s="119"/>
      <c r="AY23" s="119"/>
      <c r="AZ23" s="119"/>
      <c r="BA23" s="119"/>
      <c r="BB23" s="119"/>
      <c r="BC23" s="119"/>
      <c r="BD23" s="119"/>
      <c r="BE23" s="119"/>
      <c r="BF23" s="119"/>
      <c r="BG23" s="119"/>
      <c r="BH23" s="119"/>
      <c r="BI23" s="119"/>
      <c r="BJ23" s="119"/>
      <c r="BK23" s="119"/>
      <c r="BL23" s="119"/>
      <c r="BM23" s="119"/>
      <c r="BN23" s="119"/>
      <c r="BO23" s="119"/>
      <c r="BP23" s="119"/>
      <c r="BQ23" s="119"/>
      <c r="BR23" s="119"/>
      <c r="BS23" s="119"/>
      <c r="BT23" s="119"/>
      <c r="BU23" s="119"/>
      <c r="BV23" s="119"/>
      <c r="BW23" s="119"/>
      <c r="BX23" s="119"/>
      <c r="BY23" s="119"/>
      <c r="BZ23" s="119"/>
      <c r="CA23" s="119"/>
      <c r="CB23" s="119"/>
      <c r="CC23" s="119"/>
      <c r="CD23" s="119"/>
      <c r="CE23" s="119"/>
      <c r="CF23" s="119"/>
      <c r="CG23" s="119"/>
      <c r="CH23" s="119"/>
      <c r="CI23" s="119"/>
      <c r="CJ23" s="119"/>
      <c r="CK23" s="119"/>
      <c r="CL23" s="119"/>
      <c r="CM23" s="119"/>
      <c r="CN23" s="119"/>
      <c r="CO23" s="119"/>
      <c r="CP23" s="119"/>
      <c r="CQ23" s="119"/>
      <c r="CR23" s="119"/>
      <c r="CS23" s="119"/>
      <c r="CT23" s="119"/>
      <c r="CU23" s="119"/>
      <c r="CV23" s="119"/>
      <c r="CW23" s="119"/>
      <c r="CX23" s="119"/>
      <c r="CY23" s="119"/>
      <c r="CZ23" s="119"/>
      <c r="DA23" s="119"/>
      <c r="DB23" s="119"/>
      <c r="DC23" s="119"/>
      <c r="DD23" s="119"/>
      <c r="DE23" s="119"/>
      <c r="DF23" s="119"/>
      <c r="DG23" s="119"/>
      <c r="DH23" s="119"/>
      <c r="DI23" s="119"/>
      <c r="DJ23" s="119"/>
      <c r="DK23" s="119"/>
      <c r="DL23" s="119"/>
      <c r="DM23" s="119"/>
      <c r="DN23" s="119"/>
      <c r="DO23" s="119"/>
      <c r="DP23" s="119"/>
      <c r="DQ23" s="119"/>
      <c r="DR23" s="119"/>
      <c r="DS23" s="119"/>
      <c r="DT23" s="119"/>
      <c r="DU23" s="119"/>
      <c r="DV23" s="119"/>
      <c r="DW23" s="119"/>
      <c r="DX23" s="119"/>
      <c r="DY23" s="119"/>
      <c r="DZ23" s="119"/>
      <c r="EA23" s="119"/>
      <c r="EB23" s="119"/>
      <c r="EC23" s="119"/>
      <c r="ED23" s="119"/>
      <c r="EE23" s="119"/>
      <c r="EF23" s="119"/>
      <c r="EG23" s="119"/>
      <c r="EH23" s="119"/>
      <c r="EI23" s="119"/>
      <c r="EJ23" s="119"/>
      <c r="EK23" s="119"/>
      <c r="EL23" s="119"/>
      <c r="EM23" s="119"/>
      <c r="EN23" s="119"/>
      <c r="EO23" s="119"/>
      <c r="EP23" s="119"/>
      <c r="EQ23" s="119"/>
      <c r="ER23" s="119"/>
      <c r="ES23" s="119"/>
      <c r="ET23" s="119"/>
      <c r="EU23" s="119"/>
      <c r="EV23" s="119"/>
      <c r="EW23" s="119"/>
      <c r="EX23" s="119"/>
      <c r="EY23" s="119"/>
      <c r="EZ23" s="119"/>
      <c r="FA23" s="119"/>
      <c r="FB23" s="119"/>
      <c r="FC23" s="119"/>
      <c r="FD23" s="119"/>
      <c r="FE23" s="119"/>
      <c r="FF23" s="119"/>
      <c r="FG23" s="119"/>
      <c r="FH23" s="119"/>
      <c r="FI23" s="119"/>
      <c r="FJ23" s="119"/>
      <c r="FK23" s="119"/>
      <c r="FL23" s="119"/>
      <c r="FM23" s="119"/>
      <c r="FN23" s="119"/>
      <c r="FO23" s="119"/>
      <c r="FP23" s="119"/>
      <c r="FQ23" s="119"/>
      <c r="FR23" s="119"/>
      <c r="FS23" s="119"/>
      <c r="FT23" s="119"/>
      <c r="FU23" s="119"/>
      <c r="FV23" s="119"/>
      <c r="FW23" s="119"/>
      <c r="FX23" s="119"/>
      <c r="FY23" s="119"/>
      <c r="FZ23" s="119"/>
      <c r="GA23" s="119"/>
      <c r="GB23" s="119"/>
      <c r="GC23" s="119"/>
      <c r="GD23" s="119"/>
      <c r="GE23" s="119"/>
      <c r="GF23" s="119"/>
      <c r="GG23" s="119"/>
      <c r="GH23" s="119"/>
      <c r="GI23" s="119"/>
      <c r="GJ23" s="119"/>
      <c r="GK23" s="119"/>
      <c r="GL23" s="119"/>
      <c r="GM23" s="119"/>
      <c r="GN23" s="119"/>
      <c r="GO23" s="119"/>
      <c r="GP23" s="119"/>
      <c r="GQ23" s="119"/>
      <c r="GR23" s="119"/>
      <c r="GS23" s="119"/>
      <c r="GT23" s="119"/>
      <c r="GU23" s="119"/>
      <c r="GV23" s="119"/>
      <c r="GW23" s="119"/>
      <c r="GX23" s="119"/>
      <c r="GY23" s="119"/>
      <c r="GZ23" s="119"/>
      <c r="HA23" s="119"/>
      <c r="HB23" s="119"/>
      <c r="HC23" s="119"/>
      <c r="HD23" s="119"/>
      <c r="HE23" s="119"/>
      <c r="HF23" s="119"/>
      <c r="HG23" s="119"/>
      <c r="HH23" s="119"/>
      <c r="HI23" s="119"/>
      <c r="HJ23" s="119"/>
      <c r="HK23" s="119"/>
      <c r="HL23" s="119"/>
      <c r="HM23" s="119"/>
      <c r="HN23" s="119"/>
      <c r="HO23" s="119"/>
      <c r="HP23" s="119"/>
      <c r="HQ23" s="119"/>
      <c r="HR23" s="119"/>
      <c r="HS23" s="119"/>
      <c r="HT23" s="119"/>
      <c r="HU23" s="119"/>
      <c r="HV23" s="119"/>
      <c r="HW23" s="119"/>
      <c r="HX23" s="119"/>
      <c r="HY23" s="119"/>
      <c r="HZ23" s="119"/>
      <c r="IA23" s="119"/>
      <c r="IB23" s="119"/>
      <c r="IC23" s="119"/>
      <c r="ID23" s="119"/>
      <c r="IE23" s="119"/>
      <c r="IF23" s="119"/>
      <c r="IG23" s="119"/>
      <c r="IH23" s="119"/>
      <c r="II23" s="119"/>
      <c r="IJ23" s="119"/>
      <c r="IK23" s="119"/>
      <c r="IL23" s="119"/>
      <c r="IM23" s="119"/>
      <c r="IN23" s="119"/>
      <c r="IO23" s="119"/>
      <c r="IP23" s="119"/>
      <c r="IQ23" s="119"/>
      <c r="IR23" s="119"/>
      <c r="IS23" s="119"/>
      <c r="IT23" s="119"/>
      <c r="IU23" s="119"/>
      <c r="IV23" s="119"/>
      <c r="IW23" s="119"/>
    </row>
    <row r="24" spans="1:257" s="187" customFormat="1" ht="18" customHeight="1" x14ac:dyDescent="0.35">
      <c r="A24" s="195">
        <v>15</v>
      </c>
      <c r="B24" s="575"/>
      <c r="C24" s="548"/>
      <c r="D24" s="1265" t="s">
        <v>656</v>
      </c>
      <c r="E24" s="238"/>
      <c r="F24" s="238"/>
      <c r="G24" s="576"/>
      <c r="H24" s="240"/>
      <c r="I24" s="1273"/>
      <c r="J24" s="1273"/>
      <c r="K24" s="1273"/>
      <c r="L24" s="1273"/>
      <c r="M24" s="1273"/>
      <c r="N24" s="1273"/>
      <c r="O24" s="1781"/>
      <c r="P24" s="1276">
        <f t="shared" ref="P24:P25" si="3">SUM(I24:N24)</f>
        <v>0</v>
      </c>
      <c r="Q24" s="1246"/>
      <c r="R24" s="119"/>
      <c r="S24" s="119"/>
      <c r="T24" s="119"/>
      <c r="U24" s="119"/>
      <c r="V24" s="119"/>
      <c r="W24" s="119"/>
      <c r="X24" s="119"/>
      <c r="Y24" s="119"/>
      <c r="Z24" s="119"/>
      <c r="AA24" s="119"/>
      <c r="AB24" s="119"/>
      <c r="AC24" s="119"/>
      <c r="AD24" s="119"/>
      <c r="AE24" s="119"/>
      <c r="AF24" s="119"/>
      <c r="AG24" s="119"/>
      <c r="AH24" s="119"/>
      <c r="AI24" s="119"/>
      <c r="AJ24" s="119"/>
      <c r="AK24" s="119"/>
      <c r="AL24" s="119"/>
      <c r="AM24" s="119"/>
      <c r="AN24" s="119"/>
      <c r="AO24" s="119"/>
      <c r="AP24" s="119"/>
      <c r="AQ24" s="119"/>
      <c r="AR24" s="119"/>
      <c r="AS24" s="119"/>
      <c r="AT24" s="119"/>
      <c r="AU24" s="119"/>
      <c r="AV24" s="119"/>
      <c r="AW24" s="119"/>
      <c r="AX24" s="119"/>
      <c r="AY24" s="119"/>
      <c r="AZ24" s="119"/>
      <c r="BA24" s="119"/>
      <c r="BB24" s="119"/>
      <c r="BC24" s="119"/>
      <c r="BD24" s="119"/>
      <c r="BE24" s="119"/>
      <c r="BF24" s="119"/>
      <c r="BG24" s="119"/>
      <c r="BH24" s="119"/>
      <c r="BI24" s="119"/>
      <c r="BJ24" s="119"/>
      <c r="BK24" s="119"/>
      <c r="BL24" s="119"/>
      <c r="BM24" s="119"/>
      <c r="BN24" s="119"/>
      <c r="BO24" s="119"/>
      <c r="BP24" s="119"/>
      <c r="BQ24" s="119"/>
      <c r="BR24" s="119"/>
      <c r="BS24" s="119"/>
      <c r="BT24" s="119"/>
      <c r="BU24" s="119"/>
      <c r="BV24" s="119"/>
      <c r="BW24" s="119"/>
      <c r="BX24" s="119"/>
      <c r="BY24" s="119"/>
      <c r="BZ24" s="119"/>
      <c r="CA24" s="119"/>
      <c r="CB24" s="119"/>
      <c r="CC24" s="119"/>
      <c r="CD24" s="119"/>
      <c r="CE24" s="119"/>
      <c r="CF24" s="119"/>
      <c r="CG24" s="119"/>
      <c r="CH24" s="119"/>
      <c r="CI24" s="119"/>
      <c r="CJ24" s="119"/>
      <c r="CK24" s="119"/>
      <c r="CL24" s="119"/>
      <c r="CM24" s="119"/>
      <c r="CN24" s="119"/>
      <c r="CO24" s="119"/>
      <c r="CP24" s="119"/>
      <c r="CQ24" s="119"/>
      <c r="CR24" s="119"/>
      <c r="CS24" s="119"/>
      <c r="CT24" s="119"/>
      <c r="CU24" s="119"/>
      <c r="CV24" s="119"/>
      <c r="CW24" s="119"/>
      <c r="CX24" s="119"/>
      <c r="CY24" s="119"/>
      <c r="CZ24" s="119"/>
      <c r="DA24" s="119"/>
      <c r="DB24" s="119"/>
      <c r="DC24" s="119"/>
      <c r="DD24" s="119"/>
      <c r="DE24" s="119"/>
      <c r="DF24" s="119"/>
      <c r="DG24" s="119"/>
      <c r="DH24" s="119"/>
      <c r="DI24" s="119"/>
      <c r="DJ24" s="119"/>
      <c r="DK24" s="119"/>
      <c r="DL24" s="119"/>
      <c r="DM24" s="119"/>
      <c r="DN24" s="119"/>
      <c r="DO24" s="119"/>
      <c r="DP24" s="119"/>
      <c r="DQ24" s="119"/>
      <c r="DR24" s="119"/>
      <c r="DS24" s="119"/>
      <c r="DT24" s="119"/>
      <c r="DU24" s="119"/>
      <c r="DV24" s="119"/>
      <c r="DW24" s="119"/>
      <c r="DX24" s="119"/>
      <c r="DY24" s="119"/>
      <c r="DZ24" s="119"/>
      <c r="EA24" s="119"/>
      <c r="EB24" s="119"/>
      <c r="EC24" s="119"/>
      <c r="ED24" s="119"/>
      <c r="EE24" s="119"/>
      <c r="EF24" s="119"/>
      <c r="EG24" s="119"/>
      <c r="EH24" s="119"/>
      <c r="EI24" s="119"/>
      <c r="EJ24" s="119"/>
      <c r="EK24" s="119"/>
      <c r="EL24" s="119"/>
      <c r="EM24" s="119"/>
      <c r="EN24" s="119"/>
      <c r="EO24" s="119"/>
      <c r="EP24" s="119"/>
      <c r="EQ24" s="119"/>
      <c r="ER24" s="119"/>
      <c r="ES24" s="119"/>
      <c r="ET24" s="119"/>
      <c r="EU24" s="119"/>
      <c r="EV24" s="119"/>
      <c r="EW24" s="119"/>
      <c r="EX24" s="119"/>
      <c r="EY24" s="119"/>
      <c r="EZ24" s="119"/>
      <c r="FA24" s="119"/>
      <c r="FB24" s="119"/>
      <c r="FC24" s="119"/>
      <c r="FD24" s="119"/>
      <c r="FE24" s="119"/>
      <c r="FF24" s="119"/>
      <c r="FG24" s="119"/>
      <c r="FH24" s="119"/>
      <c r="FI24" s="119"/>
      <c r="FJ24" s="119"/>
      <c r="FK24" s="119"/>
      <c r="FL24" s="119"/>
      <c r="FM24" s="119"/>
      <c r="FN24" s="119"/>
      <c r="FO24" s="119"/>
      <c r="FP24" s="119"/>
      <c r="FQ24" s="119"/>
      <c r="FR24" s="119"/>
      <c r="FS24" s="119"/>
      <c r="FT24" s="119"/>
      <c r="FU24" s="119"/>
      <c r="FV24" s="119"/>
      <c r="FW24" s="119"/>
      <c r="FX24" s="119"/>
      <c r="FY24" s="119"/>
      <c r="FZ24" s="119"/>
      <c r="GA24" s="119"/>
      <c r="GB24" s="119"/>
      <c r="GC24" s="119"/>
      <c r="GD24" s="119"/>
      <c r="GE24" s="119"/>
      <c r="GF24" s="119"/>
      <c r="GG24" s="119"/>
      <c r="GH24" s="119"/>
      <c r="GI24" s="119"/>
      <c r="GJ24" s="119"/>
      <c r="GK24" s="119"/>
      <c r="GL24" s="119"/>
      <c r="GM24" s="119"/>
      <c r="GN24" s="119"/>
      <c r="GO24" s="119"/>
      <c r="GP24" s="119"/>
      <c r="GQ24" s="119"/>
      <c r="GR24" s="119"/>
      <c r="GS24" s="119"/>
      <c r="GT24" s="119"/>
      <c r="GU24" s="119"/>
      <c r="GV24" s="119"/>
      <c r="GW24" s="119"/>
      <c r="GX24" s="119"/>
      <c r="GY24" s="119"/>
      <c r="GZ24" s="119"/>
      <c r="HA24" s="119"/>
      <c r="HB24" s="119"/>
      <c r="HC24" s="119"/>
      <c r="HD24" s="119"/>
      <c r="HE24" s="119"/>
      <c r="HF24" s="119"/>
      <c r="HG24" s="119"/>
      <c r="HH24" s="119"/>
      <c r="HI24" s="119"/>
      <c r="HJ24" s="119"/>
      <c r="HK24" s="119"/>
      <c r="HL24" s="119"/>
      <c r="HM24" s="119"/>
      <c r="HN24" s="119"/>
      <c r="HO24" s="119"/>
      <c r="HP24" s="119"/>
      <c r="HQ24" s="119"/>
      <c r="HR24" s="119"/>
      <c r="HS24" s="119"/>
      <c r="HT24" s="119"/>
      <c r="HU24" s="119"/>
      <c r="HV24" s="119"/>
      <c r="HW24" s="119"/>
      <c r="HX24" s="119"/>
      <c r="HY24" s="119"/>
      <c r="HZ24" s="119"/>
      <c r="IA24" s="119"/>
      <c r="IB24" s="119"/>
      <c r="IC24" s="119"/>
      <c r="ID24" s="119"/>
      <c r="IE24" s="119"/>
      <c r="IF24" s="119"/>
      <c r="IG24" s="119"/>
      <c r="IH24" s="119"/>
      <c r="II24" s="119"/>
      <c r="IJ24" s="119"/>
      <c r="IK24" s="119"/>
      <c r="IL24" s="119"/>
      <c r="IM24" s="119"/>
      <c r="IN24" s="119"/>
      <c r="IO24" s="119"/>
      <c r="IP24" s="119"/>
      <c r="IQ24" s="119"/>
      <c r="IR24" s="119"/>
      <c r="IS24" s="119"/>
      <c r="IT24" s="119"/>
      <c r="IU24" s="119"/>
      <c r="IV24" s="119"/>
      <c r="IW24" s="119"/>
    </row>
    <row r="25" spans="1:257" s="187" customFormat="1" ht="18" customHeight="1" x14ac:dyDescent="0.35">
      <c r="A25" s="195">
        <v>16</v>
      </c>
      <c r="B25" s="575"/>
      <c r="C25" s="548"/>
      <c r="D25" s="1266" t="s">
        <v>862</v>
      </c>
      <c r="E25" s="238"/>
      <c r="F25" s="238"/>
      <c r="G25" s="576"/>
      <c r="H25" s="240"/>
      <c r="I25" s="1270">
        <f>SUM(I23:I24)</f>
        <v>562</v>
      </c>
      <c r="J25" s="1270">
        <f t="shared" ref="J25:M25" si="4">SUM(J23:J24)</f>
        <v>163</v>
      </c>
      <c r="K25" s="1270">
        <f t="shared" si="4"/>
        <v>9133</v>
      </c>
      <c r="L25" s="1270"/>
      <c r="M25" s="1270">
        <f t="shared" si="4"/>
        <v>0</v>
      </c>
      <c r="N25" s="1271"/>
      <c r="O25" s="576"/>
      <c r="P25" s="1275">
        <f t="shared" si="3"/>
        <v>9858</v>
      </c>
      <c r="Q25" s="1246"/>
      <c r="R25" s="119"/>
      <c r="S25" s="119"/>
      <c r="T25" s="119"/>
      <c r="U25" s="119"/>
      <c r="V25" s="119"/>
      <c r="W25" s="119"/>
      <c r="X25" s="119"/>
      <c r="Y25" s="119"/>
      <c r="Z25" s="119"/>
      <c r="AA25" s="119"/>
      <c r="AB25" s="119"/>
      <c r="AC25" s="119"/>
      <c r="AD25" s="119"/>
      <c r="AE25" s="119"/>
      <c r="AF25" s="119"/>
      <c r="AG25" s="119"/>
      <c r="AH25" s="119"/>
      <c r="AI25" s="119"/>
      <c r="AJ25" s="119"/>
      <c r="AK25" s="119"/>
      <c r="AL25" s="119"/>
      <c r="AM25" s="119"/>
      <c r="AN25" s="119"/>
      <c r="AO25" s="119"/>
      <c r="AP25" s="119"/>
      <c r="AQ25" s="119"/>
      <c r="AR25" s="119"/>
      <c r="AS25" s="119"/>
      <c r="AT25" s="119"/>
      <c r="AU25" s="119"/>
      <c r="AV25" s="119"/>
      <c r="AW25" s="119"/>
      <c r="AX25" s="119"/>
      <c r="AY25" s="119"/>
      <c r="AZ25" s="119"/>
      <c r="BA25" s="119"/>
      <c r="BB25" s="119"/>
      <c r="BC25" s="119"/>
      <c r="BD25" s="119"/>
      <c r="BE25" s="119"/>
      <c r="BF25" s="119"/>
      <c r="BG25" s="119"/>
      <c r="BH25" s="119"/>
      <c r="BI25" s="119"/>
      <c r="BJ25" s="119"/>
      <c r="BK25" s="119"/>
      <c r="BL25" s="119"/>
      <c r="BM25" s="119"/>
      <c r="BN25" s="119"/>
      <c r="BO25" s="119"/>
      <c r="BP25" s="119"/>
      <c r="BQ25" s="119"/>
      <c r="BR25" s="119"/>
      <c r="BS25" s="119"/>
      <c r="BT25" s="119"/>
      <c r="BU25" s="119"/>
      <c r="BV25" s="119"/>
      <c r="BW25" s="119"/>
      <c r="BX25" s="119"/>
      <c r="BY25" s="119"/>
      <c r="BZ25" s="119"/>
      <c r="CA25" s="119"/>
      <c r="CB25" s="119"/>
      <c r="CC25" s="119"/>
      <c r="CD25" s="119"/>
      <c r="CE25" s="119"/>
      <c r="CF25" s="119"/>
      <c r="CG25" s="119"/>
      <c r="CH25" s="119"/>
      <c r="CI25" s="119"/>
      <c r="CJ25" s="119"/>
      <c r="CK25" s="119"/>
      <c r="CL25" s="119"/>
      <c r="CM25" s="119"/>
      <c r="CN25" s="119"/>
      <c r="CO25" s="119"/>
      <c r="CP25" s="119"/>
      <c r="CQ25" s="119"/>
      <c r="CR25" s="119"/>
      <c r="CS25" s="119"/>
      <c r="CT25" s="119"/>
      <c r="CU25" s="119"/>
      <c r="CV25" s="119"/>
      <c r="CW25" s="119"/>
      <c r="CX25" s="119"/>
      <c r="CY25" s="119"/>
      <c r="CZ25" s="119"/>
      <c r="DA25" s="119"/>
      <c r="DB25" s="119"/>
      <c r="DC25" s="119"/>
      <c r="DD25" s="119"/>
      <c r="DE25" s="119"/>
      <c r="DF25" s="119"/>
      <c r="DG25" s="119"/>
      <c r="DH25" s="119"/>
      <c r="DI25" s="119"/>
      <c r="DJ25" s="119"/>
      <c r="DK25" s="119"/>
      <c r="DL25" s="119"/>
      <c r="DM25" s="119"/>
      <c r="DN25" s="119"/>
      <c r="DO25" s="119"/>
      <c r="DP25" s="119"/>
      <c r="DQ25" s="119"/>
      <c r="DR25" s="119"/>
      <c r="DS25" s="119"/>
      <c r="DT25" s="119"/>
      <c r="DU25" s="119"/>
      <c r="DV25" s="119"/>
      <c r="DW25" s="119"/>
      <c r="DX25" s="119"/>
      <c r="DY25" s="119"/>
      <c r="DZ25" s="119"/>
      <c r="EA25" s="119"/>
      <c r="EB25" s="119"/>
      <c r="EC25" s="119"/>
      <c r="ED25" s="119"/>
      <c r="EE25" s="119"/>
      <c r="EF25" s="119"/>
      <c r="EG25" s="119"/>
      <c r="EH25" s="119"/>
      <c r="EI25" s="119"/>
      <c r="EJ25" s="119"/>
      <c r="EK25" s="119"/>
      <c r="EL25" s="119"/>
      <c r="EM25" s="119"/>
      <c r="EN25" s="119"/>
      <c r="EO25" s="119"/>
      <c r="EP25" s="119"/>
      <c r="EQ25" s="119"/>
      <c r="ER25" s="119"/>
      <c r="ES25" s="119"/>
      <c r="ET25" s="119"/>
      <c r="EU25" s="119"/>
      <c r="EV25" s="119"/>
      <c r="EW25" s="119"/>
      <c r="EX25" s="119"/>
      <c r="EY25" s="119"/>
      <c r="EZ25" s="119"/>
      <c r="FA25" s="119"/>
      <c r="FB25" s="119"/>
      <c r="FC25" s="119"/>
      <c r="FD25" s="119"/>
      <c r="FE25" s="119"/>
      <c r="FF25" s="119"/>
      <c r="FG25" s="119"/>
      <c r="FH25" s="119"/>
      <c r="FI25" s="119"/>
      <c r="FJ25" s="119"/>
      <c r="FK25" s="119"/>
      <c r="FL25" s="119"/>
      <c r="FM25" s="119"/>
      <c r="FN25" s="119"/>
      <c r="FO25" s="119"/>
      <c r="FP25" s="119"/>
      <c r="FQ25" s="119"/>
      <c r="FR25" s="119"/>
      <c r="FS25" s="119"/>
      <c r="FT25" s="119"/>
      <c r="FU25" s="119"/>
      <c r="FV25" s="119"/>
      <c r="FW25" s="119"/>
      <c r="FX25" s="119"/>
      <c r="FY25" s="119"/>
      <c r="FZ25" s="119"/>
      <c r="GA25" s="119"/>
      <c r="GB25" s="119"/>
      <c r="GC25" s="119"/>
      <c r="GD25" s="119"/>
      <c r="GE25" s="119"/>
      <c r="GF25" s="119"/>
      <c r="GG25" s="119"/>
      <c r="GH25" s="119"/>
      <c r="GI25" s="119"/>
      <c r="GJ25" s="119"/>
      <c r="GK25" s="119"/>
      <c r="GL25" s="119"/>
      <c r="GM25" s="119"/>
      <c r="GN25" s="119"/>
      <c r="GO25" s="119"/>
      <c r="GP25" s="119"/>
      <c r="GQ25" s="119"/>
      <c r="GR25" s="119"/>
      <c r="GS25" s="119"/>
      <c r="GT25" s="119"/>
      <c r="GU25" s="119"/>
      <c r="GV25" s="119"/>
      <c r="GW25" s="119"/>
      <c r="GX25" s="119"/>
      <c r="GY25" s="119"/>
      <c r="GZ25" s="119"/>
      <c r="HA25" s="119"/>
      <c r="HB25" s="119"/>
      <c r="HC25" s="119"/>
      <c r="HD25" s="119"/>
      <c r="HE25" s="119"/>
      <c r="HF25" s="119"/>
      <c r="HG25" s="119"/>
      <c r="HH25" s="119"/>
      <c r="HI25" s="119"/>
      <c r="HJ25" s="119"/>
      <c r="HK25" s="119"/>
      <c r="HL25" s="119"/>
      <c r="HM25" s="119"/>
      <c r="HN25" s="119"/>
      <c r="HO25" s="119"/>
      <c r="HP25" s="119"/>
      <c r="HQ25" s="119"/>
      <c r="HR25" s="119"/>
      <c r="HS25" s="119"/>
      <c r="HT25" s="119"/>
      <c r="HU25" s="119"/>
      <c r="HV25" s="119"/>
      <c r="HW25" s="119"/>
      <c r="HX25" s="119"/>
      <c r="HY25" s="119"/>
      <c r="HZ25" s="119"/>
      <c r="IA25" s="119"/>
      <c r="IB25" s="119"/>
      <c r="IC25" s="119"/>
      <c r="ID25" s="119"/>
      <c r="IE25" s="119"/>
      <c r="IF25" s="119"/>
      <c r="IG25" s="119"/>
      <c r="IH25" s="119"/>
      <c r="II25" s="119"/>
      <c r="IJ25" s="119"/>
      <c r="IK25" s="119"/>
      <c r="IL25" s="119"/>
      <c r="IM25" s="119"/>
      <c r="IN25" s="119"/>
      <c r="IO25" s="119"/>
      <c r="IP25" s="119"/>
      <c r="IQ25" s="119"/>
      <c r="IR25" s="119"/>
      <c r="IS25" s="119"/>
      <c r="IT25" s="119"/>
      <c r="IU25" s="119"/>
      <c r="IV25" s="119"/>
      <c r="IW25" s="119"/>
    </row>
    <row r="26" spans="1:257" s="187" customFormat="1" ht="22.5" customHeight="1" x14ac:dyDescent="0.35">
      <c r="A26" s="195">
        <v>17</v>
      </c>
      <c r="B26" s="575"/>
      <c r="C26" s="871">
        <v>18</v>
      </c>
      <c r="D26" s="121" t="s">
        <v>407</v>
      </c>
      <c r="E26" s="547">
        <f>F26+G26+P30+Q27+1021+15929</f>
        <v>70995</v>
      </c>
      <c r="F26" s="238"/>
      <c r="G26" s="579">
        <v>14154</v>
      </c>
      <c r="H26" s="578" t="s">
        <v>24</v>
      </c>
      <c r="I26" s="549"/>
      <c r="J26" s="549"/>
      <c r="K26" s="549"/>
      <c r="L26" s="549"/>
      <c r="M26" s="549"/>
      <c r="N26" s="577"/>
      <c r="O26" s="1782"/>
      <c r="P26" s="236"/>
      <c r="Q26" s="235"/>
      <c r="R26" s="119"/>
      <c r="S26" s="119"/>
      <c r="T26" s="119"/>
      <c r="U26" s="119"/>
      <c r="V26" s="119"/>
      <c r="W26" s="119"/>
      <c r="X26" s="119"/>
      <c r="Y26" s="119"/>
      <c r="Z26" s="119"/>
      <c r="AA26" s="119"/>
      <c r="AB26" s="119"/>
      <c r="AC26" s="119"/>
      <c r="AD26" s="119"/>
      <c r="AE26" s="119"/>
      <c r="AF26" s="119"/>
      <c r="AG26" s="119"/>
      <c r="AH26" s="119"/>
      <c r="AI26" s="119"/>
      <c r="AJ26" s="119"/>
      <c r="AK26" s="119"/>
      <c r="AL26" s="119"/>
      <c r="AM26" s="119"/>
      <c r="AN26" s="119"/>
      <c r="AO26" s="119"/>
      <c r="AP26" s="119"/>
      <c r="AQ26" s="119"/>
      <c r="AR26" s="119"/>
      <c r="AS26" s="119"/>
      <c r="AT26" s="119"/>
      <c r="AU26" s="119"/>
      <c r="AV26" s="119"/>
      <c r="AW26" s="119"/>
      <c r="AX26" s="119"/>
      <c r="AY26" s="119"/>
      <c r="AZ26" s="119"/>
      <c r="BA26" s="119"/>
      <c r="BB26" s="119"/>
      <c r="BC26" s="119"/>
      <c r="BD26" s="119"/>
      <c r="BE26" s="119"/>
      <c r="BF26" s="119"/>
      <c r="BG26" s="119"/>
      <c r="BH26" s="119"/>
      <c r="BI26" s="119"/>
      <c r="BJ26" s="119"/>
      <c r="BK26" s="119"/>
      <c r="BL26" s="119"/>
      <c r="BM26" s="119"/>
      <c r="BN26" s="119"/>
      <c r="BO26" s="119"/>
      <c r="BP26" s="119"/>
      <c r="BQ26" s="119"/>
      <c r="BR26" s="119"/>
      <c r="BS26" s="119"/>
      <c r="BT26" s="119"/>
      <c r="BU26" s="119"/>
      <c r="BV26" s="119"/>
      <c r="BW26" s="119"/>
      <c r="BX26" s="119"/>
      <c r="BY26" s="119"/>
      <c r="BZ26" s="119"/>
      <c r="CA26" s="119"/>
      <c r="CB26" s="119"/>
      <c r="CC26" s="119"/>
      <c r="CD26" s="119"/>
      <c r="CE26" s="119"/>
      <c r="CF26" s="119"/>
      <c r="CG26" s="119"/>
      <c r="CH26" s="119"/>
      <c r="CI26" s="119"/>
      <c r="CJ26" s="119"/>
      <c r="CK26" s="119"/>
      <c r="CL26" s="119"/>
      <c r="CM26" s="119"/>
      <c r="CN26" s="119"/>
      <c r="CO26" s="119"/>
      <c r="CP26" s="119"/>
      <c r="CQ26" s="119"/>
      <c r="CR26" s="119"/>
      <c r="CS26" s="119"/>
      <c r="CT26" s="119"/>
      <c r="CU26" s="119"/>
      <c r="CV26" s="119"/>
      <c r="CW26" s="119"/>
      <c r="CX26" s="119"/>
      <c r="CY26" s="119"/>
      <c r="CZ26" s="119"/>
      <c r="DA26" s="119"/>
      <c r="DB26" s="119"/>
      <c r="DC26" s="119"/>
      <c r="DD26" s="119"/>
      <c r="DE26" s="119"/>
      <c r="DF26" s="119"/>
      <c r="DG26" s="119"/>
      <c r="DH26" s="119"/>
      <c r="DI26" s="119"/>
      <c r="DJ26" s="119"/>
      <c r="DK26" s="119"/>
      <c r="DL26" s="119"/>
      <c r="DM26" s="119"/>
      <c r="DN26" s="119"/>
      <c r="DO26" s="119"/>
      <c r="DP26" s="119"/>
      <c r="DQ26" s="119"/>
      <c r="DR26" s="119"/>
      <c r="DS26" s="119"/>
      <c r="DT26" s="119"/>
      <c r="DU26" s="119"/>
      <c r="DV26" s="119"/>
      <c r="DW26" s="119"/>
      <c r="DX26" s="119"/>
      <c r="DY26" s="119"/>
      <c r="DZ26" s="119"/>
      <c r="EA26" s="119"/>
      <c r="EB26" s="119"/>
      <c r="EC26" s="119"/>
      <c r="ED26" s="119"/>
      <c r="EE26" s="119"/>
      <c r="EF26" s="119"/>
      <c r="EG26" s="119"/>
      <c r="EH26" s="119"/>
      <c r="EI26" s="119"/>
      <c r="EJ26" s="119"/>
      <c r="EK26" s="119"/>
      <c r="EL26" s="119"/>
      <c r="EM26" s="119"/>
      <c r="EN26" s="119"/>
      <c r="EO26" s="119"/>
      <c r="EP26" s="119"/>
      <c r="EQ26" s="119"/>
      <c r="ER26" s="119"/>
      <c r="ES26" s="119"/>
      <c r="ET26" s="119"/>
      <c r="EU26" s="119"/>
      <c r="EV26" s="119"/>
      <c r="EW26" s="119"/>
      <c r="EX26" s="119"/>
      <c r="EY26" s="119"/>
      <c r="EZ26" s="119"/>
      <c r="FA26" s="119"/>
      <c r="FB26" s="119"/>
      <c r="FC26" s="119"/>
      <c r="FD26" s="119"/>
      <c r="FE26" s="119"/>
      <c r="FF26" s="119"/>
      <c r="FG26" s="119"/>
      <c r="FH26" s="119"/>
      <c r="FI26" s="119"/>
      <c r="FJ26" s="119"/>
      <c r="FK26" s="119"/>
      <c r="FL26" s="119"/>
      <c r="FM26" s="119"/>
      <c r="FN26" s="119"/>
      <c r="FO26" s="119"/>
      <c r="FP26" s="119"/>
      <c r="FQ26" s="119"/>
      <c r="FR26" s="119"/>
      <c r="FS26" s="119"/>
      <c r="FT26" s="119"/>
      <c r="FU26" s="119"/>
      <c r="FV26" s="119"/>
      <c r="FW26" s="119"/>
      <c r="FX26" s="119"/>
      <c r="FY26" s="119"/>
      <c r="FZ26" s="119"/>
      <c r="GA26" s="119"/>
      <c r="GB26" s="119"/>
      <c r="GC26" s="119"/>
      <c r="GD26" s="119"/>
      <c r="GE26" s="119"/>
      <c r="GF26" s="119"/>
      <c r="GG26" s="119"/>
      <c r="GH26" s="119"/>
      <c r="GI26" s="119"/>
      <c r="GJ26" s="119"/>
      <c r="GK26" s="119"/>
      <c r="GL26" s="119"/>
      <c r="GM26" s="119"/>
      <c r="GN26" s="119"/>
      <c r="GO26" s="119"/>
      <c r="GP26" s="119"/>
      <c r="GQ26" s="119"/>
      <c r="GR26" s="119"/>
      <c r="GS26" s="119"/>
      <c r="GT26" s="119"/>
      <c r="GU26" s="119"/>
      <c r="GV26" s="119"/>
      <c r="GW26" s="119"/>
      <c r="GX26" s="119"/>
      <c r="GY26" s="119"/>
      <c r="GZ26" s="119"/>
      <c r="HA26" s="119"/>
      <c r="HB26" s="119"/>
      <c r="HC26" s="119"/>
      <c r="HD26" s="119"/>
      <c r="HE26" s="119"/>
      <c r="HF26" s="119"/>
      <c r="HG26" s="119"/>
      <c r="HH26" s="119"/>
      <c r="HI26" s="119"/>
      <c r="HJ26" s="119"/>
      <c r="HK26" s="119"/>
      <c r="HL26" s="119"/>
      <c r="HM26" s="119"/>
      <c r="HN26" s="119"/>
      <c r="HO26" s="119"/>
      <c r="HP26" s="119"/>
      <c r="HQ26" s="119"/>
      <c r="HR26" s="119"/>
      <c r="HS26" s="119"/>
      <c r="HT26" s="119"/>
      <c r="HU26" s="119"/>
      <c r="HV26" s="119"/>
      <c r="HW26" s="119"/>
      <c r="HX26" s="119"/>
      <c r="HY26" s="119"/>
      <c r="HZ26" s="119"/>
      <c r="IA26" s="119"/>
      <c r="IB26" s="119"/>
      <c r="IC26" s="119"/>
      <c r="ID26" s="119"/>
      <c r="IE26" s="119"/>
      <c r="IF26" s="119"/>
      <c r="IG26" s="119"/>
      <c r="IH26" s="119"/>
      <c r="II26" s="119"/>
      <c r="IJ26" s="119"/>
      <c r="IK26" s="119"/>
      <c r="IL26" s="119"/>
      <c r="IM26" s="119"/>
      <c r="IN26" s="119"/>
      <c r="IO26" s="119"/>
      <c r="IP26" s="119"/>
      <c r="IQ26" s="119"/>
      <c r="IR26" s="119"/>
      <c r="IS26" s="119"/>
      <c r="IT26" s="119"/>
      <c r="IU26" s="119"/>
      <c r="IV26" s="119"/>
      <c r="IW26" s="119"/>
    </row>
    <row r="27" spans="1:257" s="187" customFormat="1" ht="18" customHeight="1" x14ac:dyDescent="0.35">
      <c r="A27" s="195">
        <v>18</v>
      </c>
      <c r="B27" s="575"/>
      <c r="C27" s="548"/>
      <c r="D27" s="237" t="s">
        <v>245</v>
      </c>
      <c r="E27" s="238"/>
      <c r="F27" s="238"/>
      <c r="G27" s="576"/>
      <c r="H27" s="240"/>
      <c r="I27" s="549">
        <v>258</v>
      </c>
      <c r="J27" s="549">
        <v>21</v>
      </c>
      <c r="K27" s="549">
        <v>41566</v>
      </c>
      <c r="L27" s="549"/>
      <c r="M27" s="549">
        <v>100</v>
      </c>
      <c r="N27" s="577"/>
      <c r="O27" s="1782"/>
      <c r="P27" s="236">
        <f>SUM(I27:N27)</f>
        <v>41945</v>
      </c>
      <c r="Q27" s="580">
        <v>14280</v>
      </c>
      <c r="R27" s="119"/>
      <c r="S27" s="119"/>
      <c r="T27" s="119"/>
      <c r="U27" s="119"/>
      <c r="V27" s="119"/>
      <c r="W27" s="119"/>
      <c r="X27" s="119"/>
      <c r="Y27" s="119"/>
      <c r="Z27" s="119"/>
      <c r="AA27" s="119"/>
      <c r="AB27" s="119"/>
      <c r="AC27" s="119"/>
      <c r="AD27" s="119"/>
      <c r="AE27" s="119"/>
      <c r="AF27" s="119"/>
      <c r="AG27" s="119"/>
      <c r="AH27" s="119"/>
      <c r="AI27" s="119"/>
      <c r="AJ27" s="119"/>
      <c r="AK27" s="119"/>
      <c r="AL27" s="119"/>
      <c r="AM27" s="119"/>
      <c r="AN27" s="119"/>
      <c r="AO27" s="119"/>
      <c r="AP27" s="119"/>
      <c r="AQ27" s="119"/>
      <c r="AR27" s="119"/>
      <c r="AS27" s="119"/>
      <c r="AT27" s="119"/>
      <c r="AU27" s="119"/>
      <c r="AV27" s="119"/>
      <c r="AW27" s="119"/>
      <c r="AX27" s="119"/>
      <c r="AY27" s="119"/>
      <c r="AZ27" s="119"/>
      <c r="BA27" s="119"/>
      <c r="BB27" s="119"/>
      <c r="BC27" s="119"/>
      <c r="BD27" s="119"/>
      <c r="BE27" s="119"/>
      <c r="BF27" s="119"/>
      <c r="BG27" s="119"/>
      <c r="BH27" s="119"/>
      <c r="BI27" s="119"/>
      <c r="BJ27" s="119"/>
      <c r="BK27" s="119"/>
      <c r="BL27" s="119"/>
      <c r="BM27" s="119"/>
      <c r="BN27" s="119"/>
      <c r="BO27" s="119"/>
      <c r="BP27" s="119"/>
      <c r="BQ27" s="119"/>
      <c r="BR27" s="119"/>
      <c r="BS27" s="119"/>
      <c r="BT27" s="119"/>
      <c r="BU27" s="119"/>
      <c r="BV27" s="119"/>
      <c r="BW27" s="119"/>
      <c r="BX27" s="119"/>
      <c r="BY27" s="119"/>
      <c r="BZ27" s="119"/>
      <c r="CA27" s="119"/>
      <c r="CB27" s="119"/>
      <c r="CC27" s="119"/>
      <c r="CD27" s="119"/>
      <c r="CE27" s="119"/>
      <c r="CF27" s="119"/>
      <c r="CG27" s="119"/>
      <c r="CH27" s="119"/>
      <c r="CI27" s="119"/>
      <c r="CJ27" s="119"/>
      <c r="CK27" s="119"/>
      <c r="CL27" s="119"/>
      <c r="CM27" s="119"/>
      <c r="CN27" s="119"/>
      <c r="CO27" s="119"/>
      <c r="CP27" s="119"/>
      <c r="CQ27" s="119"/>
      <c r="CR27" s="119"/>
      <c r="CS27" s="119"/>
      <c r="CT27" s="119"/>
      <c r="CU27" s="119"/>
      <c r="CV27" s="119"/>
      <c r="CW27" s="119"/>
      <c r="CX27" s="119"/>
      <c r="CY27" s="119"/>
      <c r="CZ27" s="119"/>
      <c r="DA27" s="119"/>
      <c r="DB27" s="119"/>
      <c r="DC27" s="119"/>
      <c r="DD27" s="119"/>
      <c r="DE27" s="119"/>
      <c r="DF27" s="119"/>
      <c r="DG27" s="119"/>
      <c r="DH27" s="119"/>
      <c r="DI27" s="119"/>
      <c r="DJ27" s="119"/>
      <c r="DK27" s="119"/>
      <c r="DL27" s="119"/>
      <c r="DM27" s="119"/>
      <c r="DN27" s="119"/>
      <c r="DO27" s="119"/>
      <c r="DP27" s="119"/>
      <c r="DQ27" s="119"/>
      <c r="DR27" s="119"/>
      <c r="DS27" s="119"/>
      <c r="DT27" s="119"/>
      <c r="DU27" s="119"/>
      <c r="DV27" s="119"/>
      <c r="DW27" s="119"/>
      <c r="DX27" s="119"/>
      <c r="DY27" s="119"/>
      <c r="DZ27" s="119"/>
      <c r="EA27" s="119"/>
      <c r="EB27" s="119"/>
      <c r="EC27" s="119"/>
      <c r="ED27" s="119"/>
      <c r="EE27" s="119"/>
      <c r="EF27" s="119"/>
      <c r="EG27" s="119"/>
      <c r="EH27" s="119"/>
      <c r="EI27" s="119"/>
      <c r="EJ27" s="119"/>
      <c r="EK27" s="119"/>
      <c r="EL27" s="119"/>
      <c r="EM27" s="119"/>
      <c r="EN27" s="119"/>
      <c r="EO27" s="119"/>
      <c r="EP27" s="119"/>
      <c r="EQ27" s="119"/>
      <c r="ER27" s="119"/>
      <c r="ES27" s="119"/>
      <c r="ET27" s="119"/>
      <c r="EU27" s="119"/>
      <c r="EV27" s="119"/>
      <c r="EW27" s="119"/>
      <c r="EX27" s="119"/>
      <c r="EY27" s="119"/>
      <c r="EZ27" s="119"/>
      <c r="FA27" s="119"/>
      <c r="FB27" s="119"/>
      <c r="FC27" s="119"/>
      <c r="FD27" s="119"/>
      <c r="FE27" s="119"/>
      <c r="FF27" s="119"/>
      <c r="FG27" s="119"/>
      <c r="FH27" s="119"/>
      <c r="FI27" s="119"/>
      <c r="FJ27" s="119"/>
      <c r="FK27" s="119"/>
      <c r="FL27" s="119"/>
      <c r="FM27" s="119"/>
      <c r="FN27" s="119"/>
      <c r="FO27" s="119"/>
      <c r="FP27" s="119"/>
      <c r="FQ27" s="119"/>
      <c r="FR27" s="119"/>
      <c r="FS27" s="119"/>
      <c r="FT27" s="119"/>
      <c r="FU27" s="119"/>
      <c r="FV27" s="119"/>
      <c r="FW27" s="119"/>
      <c r="FX27" s="119"/>
      <c r="FY27" s="119"/>
      <c r="FZ27" s="119"/>
      <c r="GA27" s="119"/>
      <c r="GB27" s="119"/>
      <c r="GC27" s="119"/>
      <c r="GD27" s="119"/>
      <c r="GE27" s="119"/>
      <c r="GF27" s="119"/>
      <c r="GG27" s="119"/>
      <c r="GH27" s="119"/>
      <c r="GI27" s="119"/>
      <c r="GJ27" s="119"/>
      <c r="GK27" s="119"/>
      <c r="GL27" s="119"/>
      <c r="GM27" s="119"/>
      <c r="GN27" s="119"/>
      <c r="GO27" s="119"/>
      <c r="GP27" s="119"/>
      <c r="GQ27" s="119"/>
      <c r="GR27" s="119"/>
      <c r="GS27" s="119"/>
      <c r="GT27" s="119"/>
      <c r="GU27" s="119"/>
      <c r="GV27" s="119"/>
      <c r="GW27" s="119"/>
      <c r="GX27" s="119"/>
      <c r="GY27" s="119"/>
      <c r="GZ27" s="119"/>
      <c r="HA27" s="119"/>
      <c r="HB27" s="119"/>
      <c r="HC27" s="119"/>
      <c r="HD27" s="119"/>
      <c r="HE27" s="119"/>
      <c r="HF27" s="119"/>
      <c r="HG27" s="119"/>
      <c r="HH27" s="119"/>
      <c r="HI27" s="119"/>
      <c r="HJ27" s="119"/>
      <c r="HK27" s="119"/>
      <c r="HL27" s="119"/>
      <c r="HM27" s="119"/>
      <c r="HN27" s="119"/>
      <c r="HO27" s="119"/>
      <c r="HP27" s="119"/>
      <c r="HQ27" s="119"/>
      <c r="HR27" s="119"/>
      <c r="HS27" s="119"/>
      <c r="HT27" s="119"/>
      <c r="HU27" s="119"/>
      <c r="HV27" s="119"/>
      <c r="HW27" s="119"/>
      <c r="HX27" s="119"/>
      <c r="HY27" s="119"/>
      <c r="HZ27" s="119"/>
      <c r="IA27" s="119"/>
      <c r="IB27" s="119"/>
      <c r="IC27" s="119"/>
      <c r="ID27" s="119"/>
      <c r="IE27" s="119"/>
      <c r="IF27" s="119"/>
      <c r="IG27" s="119"/>
      <c r="IH27" s="119"/>
      <c r="II27" s="119"/>
      <c r="IJ27" s="119"/>
      <c r="IK27" s="119"/>
      <c r="IL27" s="119"/>
      <c r="IM27" s="119"/>
      <c r="IN27" s="119"/>
      <c r="IO27" s="119"/>
      <c r="IP27" s="119"/>
      <c r="IQ27" s="119"/>
      <c r="IR27" s="119"/>
      <c r="IS27" s="119"/>
      <c r="IT27" s="119"/>
      <c r="IU27" s="119"/>
      <c r="IV27" s="119"/>
      <c r="IW27" s="119"/>
    </row>
    <row r="28" spans="1:257" s="187" customFormat="1" ht="18" customHeight="1" x14ac:dyDescent="0.35">
      <c r="A28" s="195">
        <v>19</v>
      </c>
      <c r="B28" s="575"/>
      <c r="C28" s="548"/>
      <c r="D28" s="1266" t="s">
        <v>808</v>
      </c>
      <c r="E28" s="238"/>
      <c r="F28" s="238"/>
      <c r="G28" s="576"/>
      <c r="H28" s="240"/>
      <c r="I28" s="1270">
        <v>400</v>
      </c>
      <c r="J28" s="1270">
        <v>52</v>
      </c>
      <c r="K28" s="1270">
        <v>25159</v>
      </c>
      <c r="L28" s="1270"/>
      <c r="M28" s="1270">
        <v>0</v>
      </c>
      <c r="N28" s="1271"/>
      <c r="O28" s="576"/>
      <c r="P28" s="1275">
        <f>SUM(I28:N28)</f>
        <v>25611</v>
      </c>
      <c r="Q28" s="1246"/>
      <c r="R28" s="119"/>
      <c r="S28" s="119"/>
      <c r="T28" s="119"/>
      <c r="U28" s="119"/>
      <c r="V28" s="119"/>
      <c r="W28" s="119"/>
      <c r="X28" s="119"/>
      <c r="Y28" s="119"/>
      <c r="Z28" s="119"/>
      <c r="AA28" s="119"/>
      <c r="AB28" s="119"/>
      <c r="AC28" s="119"/>
      <c r="AD28" s="119"/>
      <c r="AE28" s="119"/>
      <c r="AF28" s="119"/>
      <c r="AG28" s="119"/>
      <c r="AH28" s="119"/>
      <c r="AI28" s="119"/>
      <c r="AJ28" s="119"/>
      <c r="AK28" s="119"/>
      <c r="AL28" s="119"/>
      <c r="AM28" s="119"/>
      <c r="AN28" s="119"/>
      <c r="AO28" s="119"/>
      <c r="AP28" s="119"/>
      <c r="AQ28" s="119"/>
      <c r="AR28" s="119"/>
      <c r="AS28" s="119"/>
      <c r="AT28" s="119"/>
      <c r="AU28" s="119"/>
      <c r="AV28" s="119"/>
      <c r="AW28" s="119"/>
      <c r="AX28" s="119"/>
      <c r="AY28" s="119"/>
      <c r="AZ28" s="119"/>
      <c r="BA28" s="119"/>
      <c r="BB28" s="119"/>
      <c r="BC28" s="119"/>
      <c r="BD28" s="119"/>
      <c r="BE28" s="119"/>
      <c r="BF28" s="119"/>
      <c r="BG28" s="119"/>
      <c r="BH28" s="119"/>
      <c r="BI28" s="119"/>
      <c r="BJ28" s="119"/>
      <c r="BK28" s="119"/>
      <c r="BL28" s="119"/>
      <c r="BM28" s="119"/>
      <c r="BN28" s="119"/>
      <c r="BO28" s="119"/>
      <c r="BP28" s="119"/>
      <c r="BQ28" s="119"/>
      <c r="BR28" s="119"/>
      <c r="BS28" s="119"/>
      <c r="BT28" s="119"/>
      <c r="BU28" s="119"/>
      <c r="BV28" s="119"/>
      <c r="BW28" s="119"/>
      <c r="BX28" s="119"/>
      <c r="BY28" s="119"/>
      <c r="BZ28" s="119"/>
      <c r="CA28" s="119"/>
      <c r="CB28" s="119"/>
      <c r="CC28" s="119"/>
      <c r="CD28" s="119"/>
      <c r="CE28" s="119"/>
      <c r="CF28" s="119"/>
      <c r="CG28" s="119"/>
      <c r="CH28" s="119"/>
      <c r="CI28" s="119"/>
      <c r="CJ28" s="119"/>
      <c r="CK28" s="119"/>
      <c r="CL28" s="119"/>
      <c r="CM28" s="119"/>
      <c r="CN28" s="119"/>
      <c r="CO28" s="119"/>
      <c r="CP28" s="119"/>
      <c r="CQ28" s="119"/>
      <c r="CR28" s="119"/>
      <c r="CS28" s="119"/>
      <c r="CT28" s="119"/>
      <c r="CU28" s="119"/>
      <c r="CV28" s="119"/>
      <c r="CW28" s="119"/>
      <c r="CX28" s="119"/>
      <c r="CY28" s="119"/>
      <c r="CZ28" s="119"/>
      <c r="DA28" s="119"/>
      <c r="DB28" s="119"/>
      <c r="DC28" s="119"/>
      <c r="DD28" s="119"/>
      <c r="DE28" s="119"/>
      <c r="DF28" s="119"/>
      <c r="DG28" s="119"/>
      <c r="DH28" s="119"/>
      <c r="DI28" s="119"/>
      <c r="DJ28" s="119"/>
      <c r="DK28" s="119"/>
      <c r="DL28" s="119"/>
      <c r="DM28" s="119"/>
      <c r="DN28" s="119"/>
      <c r="DO28" s="119"/>
      <c r="DP28" s="119"/>
      <c r="DQ28" s="119"/>
      <c r="DR28" s="119"/>
      <c r="DS28" s="119"/>
      <c r="DT28" s="119"/>
      <c r="DU28" s="119"/>
      <c r="DV28" s="119"/>
      <c r="DW28" s="119"/>
      <c r="DX28" s="119"/>
      <c r="DY28" s="119"/>
      <c r="DZ28" s="119"/>
      <c r="EA28" s="119"/>
      <c r="EB28" s="119"/>
      <c r="EC28" s="119"/>
      <c r="ED28" s="119"/>
      <c r="EE28" s="119"/>
      <c r="EF28" s="119"/>
      <c r="EG28" s="119"/>
      <c r="EH28" s="119"/>
      <c r="EI28" s="119"/>
      <c r="EJ28" s="119"/>
      <c r="EK28" s="119"/>
      <c r="EL28" s="119"/>
      <c r="EM28" s="119"/>
      <c r="EN28" s="119"/>
      <c r="EO28" s="119"/>
      <c r="EP28" s="119"/>
      <c r="EQ28" s="119"/>
      <c r="ER28" s="119"/>
      <c r="ES28" s="119"/>
      <c r="ET28" s="119"/>
      <c r="EU28" s="119"/>
      <c r="EV28" s="119"/>
      <c r="EW28" s="119"/>
      <c r="EX28" s="119"/>
      <c r="EY28" s="119"/>
      <c r="EZ28" s="119"/>
      <c r="FA28" s="119"/>
      <c r="FB28" s="119"/>
      <c r="FC28" s="119"/>
      <c r="FD28" s="119"/>
      <c r="FE28" s="119"/>
      <c r="FF28" s="119"/>
      <c r="FG28" s="119"/>
      <c r="FH28" s="119"/>
      <c r="FI28" s="119"/>
      <c r="FJ28" s="119"/>
      <c r="FK28" s="119"/>
      <c r="FL28" s="119"/>
      <c r="FM28" s="119"/>
      <c r="FN28" s="119"/>
      <c r="FO28" s="119"/>
      <c r="FP28" s="119"/>
      <c r="FQ28" s="119"/>
      <c r="FR28" s="119"/>
      <c r="FS28" s="119"/>
      <c r="FT28" s="119"/>
      <c r="FU28" s="119"/>
      <c r="FV28" s="119"/>
      <c r="FW28" s="119"/>
      <c r="FX28" s="119"/>
      <c r="FY28" s="119"/>
      <c r="FZ28" s="119"/>
      <c r="GA28" s="119"/>
      <c r="GB28" s="119"/>
      <c r="GC28" s="119"/>
      <c r="GD28" s="119"/>
      <c r="GE28" s="119"/>
      <c r="GF28" s="119"/>
      <c r="GG28" s="119"/>
      <c r="GH28" s="119"/>
      <c r="GI28" s="119"/>
      <c r="GJ28" s="119"/>
      <c r="GK28" s="119"/>
      <c r="GL28" s="119"/>
      <c r="GM28" s="119"/>
      <c r="GN28" s="119"/>
      <c r="GO28" s="119"/>
      <c r="GP28" s="119"/>
      <c r="GQ28" s="119"/>
      <c r="GR28" s="119"/>
      <c r="GS28" s="119"/>
      <c r="GT28" s="119"/>
      <c r="GU28" s="119"/>
      <c r="GV28" s="119"/>
      <c r="GW28" s="119"/>
      <c r="GX28" s="119"/>
      <c r="GY28" s="119"/>
      <c r="GZ28" s="119"/>
      <c r="HA28" s="119"/>
      <c r="HB28" s="119"/>
      <c r="HC28" s="119"/>
      <c r="HD28" s="119"/>
      <c r="HE28" s="119"/>
      <c r="HF28" s="119"/>
      <c r="HG28" s="119"/>
      <c r="HH28" s="119"/>
      <c r="HI28" s="119"/>
      <c r="HJ28" s="119"/>
      <c r="HK28" s="119"/>
      <c r="HL28" s="119"/>
      <c r="HM28" s="119"/>
      <c r="HN28" s="119"/>
      <c r="HO28" s="119"/>
      <c r="HP28" s="119"/>
      <c r="HQ28" s="119"/>
      <c r="HR28" s="119"/>
      <c r="HS28" s="119"/>
      <c r="HT28" s="119"/>
      <c r="HU28" s="119"/>
      <c r="HV28" s="119"/>
      <c r="HW28" s="119"/>
      <c r="HX28" s="119"/>
      <c r="HY28" s="119"/>
      <c r="HZ28" s="119"/>
      <c r="IA28" s="119"/>
      <c r="IB28" s="119"/>
      <c r="IC28" s="119"/>
      <c r="ID28" s="119"/>
      <c r="IE28" s="119"/>
      <c r="IF28" s="119"/>
      <c r="IG28" s="119"/>
      <c r="IH28" s="119"/>
      <c r="II28" s="119"/>
      <c r="IJ28" s="119"/>
      <c r="IK28" s="119"/>
      <c r="IL28" s="119"/>
      <c r="IM28" s="119"/>
      <c r="IN28" s="119"/>
      <c r="IO28" s="119"/>
      <c r="IP28" s="119"/>
      <c r="IQ28" s="119"/>
      <c r="IR28" s="119"/>
      <c r="IS28" s="119"/>
      <c r="IT28" s="119"/>
      <c r="IU28" s="119"/>
      <c r="IV28" s="119"/>
      <c r="IW28" s="119"/>
    </row>
    <row r="29" spans="1:257" s="187" customFormat="1" ht="18" customHeight="1" x14ac:dyDescent="0.35">
      <c r="A29" s="195">
        <v>20</v>
      </c>
      <c r="B29" s="575"/>
      <c r="C29" s="548"/>
      <c r="D29" s="1265" t="s">
        <v>656</v>
      </c>
      <c r="E29" s="238"/>
      <c r="F29" s="238"/>
      <c r="G29" s="576"/>
      <c r="H29" s="240"/>
      <c r="I29" s="1273"/>
      <c r="J29" s="1273"/>
      <c r="K29" s="1273"/>
      <c r="L29" s="1273"/>
      <c r="M29" s="1273"/>
      <c r="N29" s="1273"/>
      <c r="O29" s="1781"/>
      <c r="P29" s="1276">
        <f t="shared" ref="P29:P30" si="5">SUM(I29:N29)</f>
        <v>0</v>
      </c>
      <c r="Q29" s="1246"/>
      <c r="R29" s="119"/>
      <c r="S29" s="119"/>
      <c r="T29" s="119"/>
      <c r="U29" s="119"/>
      <c r="V29" s="119"/>
      <c r="W29" s="119"/>
      <c r="X29" s="119"/>
      <c r="Y29" s="119"/>
      <c r="Z29" s="119"/>
      <c r="AA29" s="119"/>
      <c r="AB29" s="119"/>
      <c r="AC29" s="119"/>
      <c r="AD29" s="119"/>
      <c r="AE29" s="119"/>
      <c r="AF29" s="119"/>
      <c r="AG29" s="119"/>
      <c r="AH29" s="119"/>
      <c r="AI29" s="119"/>
      <c r="AJ29" s="119"/>
      <c r="AK29" s="119"/>
      <c r="AL29" s="119"/>
      <c r="AM29" s="119"/>
      <c r="AN29" s="119"/>
      <c r="AO29" s="119"/>
      <c r="AP29" s="119"/>
      <c r="AQ29" s="119"/>
      <c r="AR29" s="119"/>
      <c r="AS29" s="119"/>
      <c r="AT29" s="119"/>
      <c r="AU29" s="119"/>
      <c r="AV29" s="119"/>
      <c r="AW29" s="119"/>
      <c r="AX29" s="119"/>
      <c r="AY29" s="119"/>
      <c r="AZ29" s="119"/>
      <c r="BA29" s="119"/>
      <c r="BB29" s="119"/>
      <c r="BC29" s="119"/>
      <c r="BD29" s="119"/>
      <c r="BE29" s="119"/>
      <c r="BF29" s="119"/>
      <c r="BG29" s="119"/>
      <c r="BH29" s="119"/>
      <c r="BI29" s="119"/>
      <c r="BJ29" s="119"/>
      <c r="BK29" s="119"/>
      <c r="BL29" s="119"/>
      <c r="BM29" s="119"/>
      <c r="BN29" s="119"/>
      <c r="BO29" s="119"/>
      <c r="BP29" s="119"/>
      <c r="BQ29" s="119"/>
      <c r="BR29" s="119"/>
      <c r="BS29" s="119"/>
      <c r="BT29" s="119"/>
      <c r="BU29" s="119"/>
      <c r="BV29" s="119"/>
      <c r="BW29" s="119"/>
      <c r="BX29" s="119"/>
      <c r="BY29" s="119"/>
      <c r="BZ29" s="119"/>
      <c r="CA29" s="119"/>
      <c r="CB29" s="119"/>
      <c r="CC29" s="119"/>
      <c r="CD29" s="119"/>
      <c r="CE29" s="119"/>
      <c r="CF29" s="119"/>
      <c r="CG29" s="119"/>
      <c r="CH29" s="119"/>
      <c r="CI29" s="119"/>
      <c r="CJ29" s="119"/>
      <c r="CK29" s="119"/>
      <c r="CL29" s="119"/>
      <c r="CM29" s="119"/>
      <c r="CN29" s="119"/>
      <c r="CO29" s="119"/>
      <c r="CP29" s="119"/>
      <c r="CQ29" s="119"/>
      <c r="CR29" s="119"/>
      <c r="CS29" s="119"/>
      <c r="CT29" s="119"/>
      <c r="CU29" s="119"/>
      <c r="CV29" s="119"/>
      <c r="CW29" s="119"/>
      <c r="CX29" s="119"/>
      <c r="CY29" s="119"/>
      <c r="CZ29" s="119"/>
      <c r="DA29" s="119"/>
      <c r="DB29" s="119"/>
      <c r="DC29" s="119"/>
      <c r="DD29" s="119"/>
      <c r="DE29" s="119"/>
      <c r="DF29" s="119"/>
      <c r="DG29" s="119"/>
      <c r="DH29" s="119"/>
      <c r="DI29" s="119"/>
      <c r="DJ29" s="119"/>
      <c r="DK29" s="119"/>
      <c r="DL29" s="119"/>
      <c r="DM29" s="119"/>
      <c r="DN29" s="119"/>
      <c r="DO29" s="119"/>
      <c r="DP29" s="119"/>
      <c r="DQ29" s="119"/>
      <c r="DR29" s="119"/>
      <c r="DS29" s="119"/>
      <c r="DT29" s="119"/>
      <c r="DU29" s="119"/>
      <c r="DV29" s="119"/>
      <c r="DW29" s="119"/>
      <c r="DX29" s="119"/>
      <c r="DY29" s="119"/>
      <c r="DZ29" s="119"/>
      <c r="EA29" s="119"/>
      <c r="EB29" s="119"/>
      <c r="EC29" s="119"/>
      <c r="ED29" s="119"/>
      <c r="EE29" s="119"/>
      <c r="EF29" s="119"/>
      <c r="EG29" s="119"/>
      <c r="EH29" s="119"/>
      <c r="EI29" s="119"/>
      <c r="EJ29" s="119"/>
      <c r="EK29" s="119"/>
      <c r="EL29" s="119"/>
      <c r="EM29" s="119"/>
      <c r="EN29" s="119"/>
      <c r="EO29" s="119"/>
      <c r="EP29" s="119"/>
      <c r="EQ29" s="119"/>
      <c r="ER29" s="119"/>
      <c r="ES29" s="119"/>
      <c r="ET29" s="119"/>
      <c r="EU29" s="119"/>
      <c r="EV29" s="119"/>
      <c r="EW29" s="119"/>
      <c r="EX29" s="119"/>
      <c r="EY29" s="119"/>
      <c r="EZ29" s="119"/>
      <c r="FA29" s="119"/>
      <c r="FB29" s="119"/>
      <c r="FC29" s="119"/>
      <c r="FD29" s="119"/>
      <c r="FE29" s="119"/>
      <c r="FF29" s="119"/>
      <c r="FG29" s="119"/>
      <c r="FH29" s="119"/>
      <c r="FI29" s="119"/>
      <c r="FJ29" s="119"/>
      <c r="FK29" s="119"/>
      <c r="FL29" s="119"/>
      <c r="FM29" s="119"/>
      <c r="FN29" s="119"/>
      <c r="FO29" s="119"/>
      <c r="FP29" s="119"/>
      <c r="FQ29" s="119"/>
      <c r="FR29" s="119"/>
      <c r="FS29" s="119"/>
      <c r="FT29" s="119"/>
      <c r="FU29" s="119"/>
      <c r="FV29" s="119"/>
      <c r="FW29" s="119"/>
      <c r="FX29" s="119"/>
      <c r="FY29" s="119"/>
      <c r="FZ29" s="119"/>
      <c r="GA29" s="119"/>
      <c r="GB29" s="119"/>
      <c r="GC29" s="119"/>
      <c r="GD29" s="119"/>
      <c r="GE29" s="119"/>
      <c r="GF29" s="119"/>
      <c r="GG29" s="119"/>
      <c r="GH29" s="119"/>
      <c r="GI29" s="119"/>
      <c r="GJ29" s="119"/>
      <c r="GK29" s="119"/>
      <c r="GL29" s="119"/>
      <c r="GM29" s="119"/>
      <c r="GN29" s="119"/>
      <c r="GO29" s="119"/>
      <c r="GP29" s="119"/>
      <c r="GQ29" s="119"/>
      <c r="GR29" s="119"/>
      <c r="GS29" s="119"/>
      <c r="GT29" s="119"/>
      <c r="GU29" s="119"/>
      <c r="GV29" s="119"/>
      <c r="GW29" s="119"/>
      <c r="GX29" s="119"/>
      <c r="GY29" s="119"/>
      <c r="GZ29" s="119"/>
      <c r="HA29" s="119"/>
      <c r="HB29" s="119"/>
      <c r="HC29" s="119"/>
      <c r="HD29" s="119"/>
      <c r="HE29" s="119"/>
      <c r="HF29" s="119"/>
      <c r="HG29" s="119"/>
      <c r="HH29" s="119"/>
      <c r="HI29" s="119"/>
      <c r="HJ29" s="119"/>
      <c r="HK29" s="119"/>
      <c r="HL29" s="119"/>
      <c r="HM29" s="119"/>
      <c r="HN29" s="119"/>
      <c r="HO29" s="119"/>
      <c r="HP29" s="119"/>
      <c r="HQ29" s="119"/>
      <c r="HR29" s="119"/>
      <c r="HS29" s="119"/>
      <c r="HT29" s="119"/>
      <c r="HU29" s="119"/>
      <c r="HV29" s="119"/>
      <c r="HW29" s="119"/>
      <c r="HX29" s="119"/>
      <c r="HY29" s="119"/>
      <c r="HZ29" s="119"/>
      <c r="IA29" s="119"/>
      <c r="IB29" s="119"/>
      <c r="IC29" s="119"/>
      <c r="ID29" s="119"/>
      <c r="IE29" s="119"/>
      <c r="IF29" s="119"/>
      <c r="IG29" s="119"/>
      <c r="IH29" s="119"/>
      <c r="II29" s="119"/>
      <c r="IJ29" s="119"/>
      <c r="IK29" s="119"/>
      <c r="IL29" s="119"/>
      <c r="IM29" s="119"/>
      <c r="IN29" s="119"/>
      <c r="IO29" s="119"/>
      <c r="IP29" s="119"/>
      <c r="IQ29" s="119"/>
      <c r="IR29" s="119"/>
      <c r="IS29" s="119"/>
      <c r="IT29" s="119"/>
      <c r="IU29" s="119"/>
      <c r="IV29" s="119"/>
      <c r="IW29" s="119"/>
    </row>
    <row r="30" spans="1:257" s="187" customFormat="1" ht="18" customHeight="1" x14ac:dyDescent="0.35">
      <c r="A30" s="195">
        <v>21</v>
      </c>
      <c r="B30" s="575"/>
      <c r="C30" s="548"/>
      <c r="D30" s="1266" t="s">
        <v>862</v>
      </c>
      <c r="E30" s="238"/>
      <c r="F30" s="238"/>
      <c r="G30" s="576"/>
      <c r="H30" s="240"/>
      <c r="I30" s="1270">
        <f>SUM(I28:I29)</f>
        <v>400</v>
      </c>
      <c r="J30" s="1270">
        <f t="shared" ref="J30:M30" si="6">SUM(J28:J29)</f>
        <v>52</v>
      </c>
      <c r="K30" s="1270">
        <f t="shared" si="6"/>
        <v>25159</v>
      </c>
      <c r="L30" s="1270"/>
      <c r="M30" s="1270">
        <f t="shared" si="6"/>
        <v>0</v>
      </c>
      <c r="N30" s="1270"/>
      <c r="O30" s="1783"/>
      <c r="P30" s="1275">
        <f t="shared" si="5"/>
        <v>25611</v>
      </c>
      <c r="Q30" s="1246"/>
      <c r="R30" s="119"/>
      <c r="S30" s="119"/>
      <c r="T30" s="119"/>
      <c r="U30" s="119"/>
      <c r="V30" s="119"/>
      <c r="W30" s="119"/>
      <c r="X30" s="119"/>
      <c r="Y30" s="119"/>
      <c r="Z30" s="119"/>
      <c r="AA30" s="119"/>
      <c r="AB30" s="119"/>
      <c r="AC30" s="119"/>
      <c r="AD30" s="119"/>
      <c r="AE30" s="119"/>
      <c r="AF30" s="119"/>
      <c r="AG30" s="119"/>
      <c r="AH30" s="119"/>
      <c r="AI30" s="119"/>
      <c r="AJ30" s="119"/>
      <c r="AK30" s="119"/>
      <c r="AL30" s="119"/>
      <c r="AM30" s="119"/>
      <c r="AN30" s="119"/>
      <c r="AO30" s="119"/>
      <c r="AP30" s="119"/>
      <c r="AQ30" s="119"/>
      <c r="AR30" s="119"/>
      <c r="AS30" s="119"/>
      <c r="AT30" s="119"/>
      <c r="AU30" s="119"/>
      <c r="AV30" s="119"/>
      <c r="AW30" s="119"/>
      <c r="AX30" s="119"/>
      <c r="AY30" s="119"/>
      <c r="AZ30" s="119"/>
      <c r="BA30" s="119"/>
      <c r="BB30" s="119"/>
      <c r="BC30" s="119"/>
      <c r="BD30" s="119"/>
      <c r="BE30" s="119"/>
      <c r="BF30" s="119"/>
      <c r="BG30" s="119"/>
      <c r="BH30" s="119"/>
      <c r="BI30" s="119"/>
      <c r="BJ30" s="119"/>
      <c r="BK30" s="119"/>
      <c r="BL30" s="119"/>
      <c r="BM30" s="119"/>
      <c r="BN30" s="119"/>
      <c r="BO30" s="119"/>
      <c r="BP30" s="119"/>
      <c r="BQ30" s="119"/>
      <c r="BR30" s="119"/>
      <c r="BS30" s="119"/>
      <c r="BT30" s="119"/>
      <c r="BU30" s="119"/>
      <c r="BV30" s="119"/>
      <c r="BW30" s="119"/>
      <c r="BX30" s="119"/>
      <c r="BY30" s="119"/>
      <c r="BZ30" s="119"/>
      <c r="CA30" s="119"/>
      <c r="CB30" s="119"/>
      <c r="CC30" s="119"/>
      <c r="CD30" s="119"/>
      <c r="CE30" s="119"/>
      <c r="CF30" s="119"/>
      <c r="CG30" s="119"/>
      <c r="CH30" s="119"/>
      <c r="CI30" s="119"/>
      <c r="CJ30" s="119"/>
      <c r="CK30" s="119"/>
      <c r="CL30" s="119"/>
      <c r="CM30" s="119"/>
      <c r="CN30" s="119"/>
      <c r="CO30" s="119"/>
      <c r="CP30" s="119"/>
      <c r="CQ30" s="119"/>
      <c r="CR30" s="119"/>
      <c r="CS30" s="119"/>
      <c r="CT30" s="119"/>
      <c r="CU30" s="119"/>
      <c r="CV30" s="119"/>
      <c r="CW30" s="119"/>
      <c r="CX30" s="119"/>
      <c r="CY30" s="119"/>
      <c r="CZ30" s="119"/>
      <c r="DA30" s="119"/>
      <c r="DB30" s="119"/>
      <c r="DC30" s="119"/>
      <c r="DD30" s="119"/>
      <c r="DE30" s="119"/>
      <c r="DF30" s="119"/>
      <c r="DG30" s="119"/>
      <c r="DH30" s="119"/>
      <c r="DI30" s="119"/>
      <c r="DJ30" s="119"/>
      <c r="DK30" s="119"/>
      <c r="DL30" s="119"/>
      <c r="DM30" s="119"/>
      <c r="DN30" s="119"/>
      <c r="DO30" s="119"/>
      <c r="DP30" s="119"/>
      <c r="DQ30" s="119"/>
      <c r="DR30" s="119"/>
      <c r="DS30" s="119"/>
      <c r="DT30" s="119"/>
      <c r="DU30" s="119"/>
      <c r="DV30" s="119"/>
      <c r="DW30" s="119"/>
      <c r="DX30" s="119"/>
      <c r="DY30" s="119"/>
      <c r="DZ30" s="119"/>
      <c r="EA30" s="119"/>
      <c r="EB30" s="119"/>
      <c r="EC30" s="119"/>
      <c r="ED30" s="119"/>
      <c r="EE30" s="119"/>
      <c r="EF30" s="119"/>
      <c r="EG30" s="119"/>
      <c r="EH30" s="119"/>
      <c r="EI30" s="119"/>
      <c r="EJ30" s="119"/>
      <c r="EK30" s="119"/>
      <c r="EL30" s="119"/>
      <c r="EM30" s="119"/>
      <c r="EN30" s="119"/>
      <c r="EO30" s="119"/>
      <c r="EP30" s="119"/>
      <c r="EQ30" s="119"/>
      <c r="ER30" s="119"/>
      <c r="ES30" s="119"/>
      <c r="ET30" s="119"/>
      <c r="EU30" s="119"/>
      <c r="EV30" s="119"/>
      <c r="EW30" s="119"/>
      <c r="EX30" s="119"/>
      <c r="EY30" s="119"/>
      <c r="EZ30" s="119"/>
      <c r="FA30" s="119"/>
      <c r="FB30" s="119"/>
      <c r="FC30" s="119"/>
      <c r="FD30" s="119"/>
      <c r="FE30" s="119"/>
      <c r="FF30" s="119"/>
      <c r="FG30" s="119"/>
      <c r="FH30" s="119"/>
      <c r="FI30" s="119"/>
      <c r="FJ30" s="119"/>
      <c r="FK30" s="119"/>
      <c r="FL30" s="119"/>
      <c r="FM30" s="119"/>
      <c r="FN30" s="119"/>
      <c r="FO30" s="119"/>
      <c r="FP30" s="119"/>
      <c r="FQ30" s="119"/>
      <c r="FR30" s="119"/>
      <c r="FS30" s="119"/>
      <c r="FT30" s="119"/>
      <c r="FU30" s="119"/>
      <c r="FV30" s="119"/>
      <c r="FW30" s="119"/>
      <c r="FX30" s="119"/>
      <c r="FY30" s="119"/>
      <c r="FZ30" s="119"/>
      <c r="GA30" s="119"/>
      <c r="GB30" s="119"/>
      <c r="GC30" s="119"/>
      <c r="GD30" s="119"/>
      <c r="GE30" s="119"/>
      <c r="GF30" s="119"/>
      <c r="GG30" s="119"/>
      <c r="GH30" s="119"/>
      <c r="GI30" s="119"/>
      <c r="GJ30" s="119"/>
      <c r="GK30" s="119"/>
      <c r="GL30" s="119"/>
      <c r="GM30" s="119"/>
      <c r="GN30" s="119"/>
      <c r="GO30" s="119"/>
      <c r="GP30" s="119"/>
      <c r="GQ30" s="119"/>
      <c r="GR30" s="119"/>
      <c r="GS30" s="119"/>
      <c r="GT30" s="119"/>
      <c r="GU30" s="119"/>
      <c r="GV30" s="119"/>
      <c r="GW30" s="119"/>
      <c r="GX30" s="119"/>
      <c r="GY30" s="119"/>
      <c r="GZ30" s="119"/>
      <c r="HA30" s="119"/>
      <c r="HB30" s="119"/>
      <c r="HC30" s="119"/>
      <c r="HD30" s="119"/>
      <c r="HE30" s="119"/>
      <c r="HF30" s="119"/>
      <c r="HG30" s="119"/>
      <c r="HH30" s="119"/>
      <c r="HI30" s="119"/>
      <c r="HJ30" s="119"/>
      <c r="HK30" s="119"/>
      <c r="HL30" s="119"/>
      <c r="HM30" s="119"/>
      <c r="HN30" s="119"/>
      <c r="HO30" s="119"/>
      <c r="HP30" s="119"/>
      <c r="HQ30" s="119"/>
      <c r="HR30" s="119"/>
      <c r="HS30" s="119"/>
      <c r="HT30" s="119"/>
      <c r="HU30" s="119"/>
      <c r="HV30" s="119"/>
      <c r="HW30" s="119"/>
      <c r="HX30" s="119"/>
      <c r="HY30" s="119"/>
      <c r="HZ30" s="119"/>
      <c r="IA30" s="119"/>
      <c r="IB30" s="119"/>
      <c r="IC30" s="119"/>
      <c r="ID30" s="119"/>
      <c r="IE30" s="119"/>
      <c r="IF30" s="119"/>
      <c r="IG30" s="119"/>
      <c r="IH30" s="119"/>
      <c r="II30" s="119"/>
      <c r="IJ30" s="119"/>
      <c r="IK30" s="119"/>
      <c r="IL30" s="119"/>
      <c r="IM30" s="119"/>
      <c r="IN30" s="119"/>
      <c r="IO30" s="119"/>
      <c r="IP30" s="119"/>
      <c r="IQ30" s="119"/>
      <c r="IR30" s="119"/>
      <c r="IS30" s="119"/>
      <c r="IT30" s="119"/>
      <c r="IU30" s="119"/>
      <c r="IV30" s="119"/>
      <c r="IW30" s="119"/>
    </row>
    <row r="31" spans="1:257" ht="22.5" customHeight="1" x14ac:dyDescent="0.35">
      <c r="A31" s="195">
        <v>22</v>
      </c>
      <c r="B31" s="575"/>
      <c r="C31" s="871">
        <v>19</v>
      </c>
      <c r="D31" s="121" t="s">
        <v>408</v>
      </c>
      <c r="E31" s="547">
        <f>F31+G31+P35+Q32+1064+14012</f>
        <v>81765</v>
      </c>
      <c r="F31" s="238"/>
      <c r="G31" s="576">
        <v>8682</v>
      </c>
      <c r="H31" s="578" t="s">
        <v>24</v>
      </c>
      <c r="I31" s="549"/>
      <c r="J31" s="549"/>
      <c r="K31" s="549"/>
      <c r="L31" s="549"/>
      <c r="M31" s="549"/>
      <c r="N31" s="577"/>
      <c r="O31" s="1782"/>
      <c r="P31" s="236"/>
      <c r="Q31" s="235"/>
    </row>
    <row r="32" spans="1:257" s="187" customFormat="1" ht="18" customHeight="1" x14ac:dyDescent="0.35">
      <c r="A32" s="195">
        <v>23</v>
      </c>
      <c r="B32" s="575"/>
      <c r="C32" s="548"/>
      <c r="D32" s="237" t="s">
        <v>245</v>
      </c>
      <c r="E32" s="238"/>
      <c r="F32" s="238"/>
      <c r="G32" s="576"/>
      <c r="H32" s="240"/>
      <c r="I32" s="549">
        <v>372</v>
      </c>
      <c r="J32" s="549">
        <v>41</v>
      </c>
      <c r="K32" s="549">
        <v>34812</v>
      </c>
      <c r="L32" s="549"/>
      <c r="M32" s="549"/>
      <c r="N32" s="577"/>
      <c r="O32" s="1782"/>
      <c r="P32" s="236">
        <f>SUM(I32:N32)</f>
        <v>35225</v>
      </c>
      <c r="Q32" s="580">
        <v>36794</v>
      </c>
      <c r="R32" s="119"/>
      <c r="S32" s="119"/>
      <c r="T32" s="119"/>
      <c r="U32" s="119"/>
      <c r="V32" s="119"/>
      <c r="W32" s="119"/>
      <c r="X32" s="119"/>
      <c r="Y32" s="119"/>
      <c r="Z32" s="119"/>
      <c r="AA32" s="119"/>
      <c r="AB32" s="119"/>
      <c r="AC32" s="119"/>
      <c r="AD32" s="119"/>
      <c r="AE32" s="119"/>
      <c r="AF32" s="119"/>
      <c r="AG32" s="119"/>
      <c r="AH32" s="119"/>
      <c r="AI32" s="119"/>
      <c r="AJ32" s="119"/>
      <c r="AK32" s="119"/>
      <c r="AL32" s="119"/>
      <c r="AM32" s="119"/>
      <c r="AN32" s="119"/>
      <c r="AO32" s="119"/>
      <c r="AP32" s="119"/>
      <c r="AQ32" s="119"/>
      <c r="AR32" s="119"/>
      <c r="AS32" s="119"/>
      <c r="AT32" s="119"/>
      <c r="AU32" s="119"/>
      <c r="AV32" s="119"/>
      <c r="AW32" s="119"/>
      <c r="AX32" s="119"/>
      <c r="AY32" s="119"/>
      <c r="AZ32" s="119"/>
      <c r="BA32" s="119"/>
      <c r="BB32" s="119"/>
      <c r="BC32" s="119"/>
      <c r="BD32" s="119"/>
      <c r="BE32" s="119"/>
      <c r="BF32" s="119"/>
      <c r="BG32" s="119"/>
      <c r="BH32" s="119"/>
      <c r="BI32" s="119"/>
      <c r="BJ32" s="119"/>
      <c r="BK32" s="119"/>
      <c r="BL32" s="119"/>
      <c r="BM32" s="119"/>
      <c r="BN32" s="119"/>
      <c r="BO32" s="119"/>
      <c r="BP32" s="119"/>
      <c r="BQ32" s="119"/>
      <c r="BR32" s="119"/>
      <c r="BS32" s="119"/>
      <c r="BT32" s="119"/>
      <c r="BU32" s="119"/>
      <c r="BV32" s="119"/>
      <c r="BW32" s="119"/>
      <c r="BX32" s="119"/>
      <c r="BY32" s="119"/>
      <c r="BZ32" s="119"/>
      <c r="CA32" s="119"/>
      <c r="CB32" s="119"/>
      <c r="CC32" s="119"/>
      <c r="CD32" s="119"/>
      <c r="CE32" s="119"/>
      <c r="CF32" s="119"/>
      <c r="CG32" s="119"/>
      <c r="CH32" s="119"/>
      <c r="CI32" s="119"/>
      <c r="CJ32" s="119"/>
      <c r="CK32" s="119"/>
      <c r="CL32" s="119"/>
      <c r="CM32" s="119"/>
      <c r="CN32" s="119"/>
      <c r="CO32" s="119"/>
      <c r="CP32" s="119"/>
      <c r="CQ32" s="119"/>
      <c r="CR32" s="119"/>
      <c r="CS32" s="119"/>
      <c r="CT32" s="119"/>
      <c r="CU32" s="119"/>
      <c r="CV32" s="119"/>
      <c r="CW32" s="119"/>
      <c r="CX32" s="119"/>
      <c r="CY32" s="119"/>
      <c r="CZ32" s="119"/>
      <c r="DA32" s="119"/>
      <c r="DB32" s="119"/>
      <c r="DC32" s="119"/>
      <c r="DD32" s="119"/>
      <c r="DE32" s="119"/>
      <c r="DF32" s="119"/>
      <c r="DG32" s="119"/>
      <c r="DH32" s="119"/>
      <c r="DI32" s="119"/>
      <c r="DJ32" s="119"/>
      <c r="DK32" s="119"/>
      <c r="DL32" s="119"/>
      <c r="DM32" s="119"/>
      <c r="DN32" s="119"/>
      <c r="DO32" s="119"/>
      <c r="DP32" s="119"/>
      <c r="DQ32" s="119"/>
      <c r="DR32" s="119"/>
      <c r="DS32" s="119"/>
      <c r="DT32" s="119"/>
      <c r="DU32" s="119"/>
      <c r="DV32" s="119"/>
      <c r="DW32" s="119"/>
      <c r="DX32" s="119"/>
      <c r="DY32" s="119"/>
      <c r="DZ32" s="119"/>
      <c r="EA32" s="119"/>
      <c r="EB32" s="119"/>
      <c r="EC32" s="119"/>
      <c r="ED32" s="119"/>
      <c r="EE32" s="119"/>
      <c r="EF32" s="119"/>
      <c r="EG32" s="119"/>
      <c r="EH32" s="119"/>
      <c r="EI32" s="119"/>
      <c r="EJ32" s="119"/>
      <c r="EK32" s="119"/>
      <c r="EL32" s="119"/>
      <c r="EM32" s="119"/>
      <c r="EN32" s="119"/>
      <c r="EO32" s="119"/>
      <c r="EP32" s="119"/>
      <c r="EQ32" s="119"/>
      <c r="ER32" s="119"/>
      <c r="ES32" s="119"/>
      <c r="ET32" s="119"/>
      <c r="EU32" s="119"/>
      <c r="EV32" s="119"/>
      <c r="EW32" s="119"/>
      <c r="EX32" s="119"/>
      <c r="EY32" s="119"/>
      <c r="EZ32" s="119"/>
      <c r="FA32" s="119"/>
      <c r="FB32" s="119"/>
      <c r="FC32" s="119"/>
      <c r="FD32" s="119"/>
      <c r="FE32" s="119"/>
      <c r="FF32" s="119"/>
      <c r="FG32" s="119"/>
      <c r="FH32" s="119"/>
      <c r="FI32" s="119"/>
      <c r="FJ32" s="119"/>
      <c r="FK32" s="119"/>
      <c r="FL32" s="119"/>
      <c r="FM32" s="119"/>
      <c r="FN32" s="119"/>
      <c r="FO32" s="119"/>
      <c r="FP32" s="119"/>
      <c r="FQ32" s="119"/>
      <c r="FR32" s="119"/>
      <c r="FS32" s="119"/>
      <c r="FT32" s="119"/>
      <c r="FU32" s="119"/>
      <c r="FV32" s="119"/>
      <c r="FW32" s="119"/>
      <c r="FX32" s="119"/>
      <c r="FY32" s="119"/>
      <c r="FZ32" s="119"/>
      <c r="GA32" s="119"/>
      <c r="GB32" s="119"/>
      <c r="GC32" s="119"/>
      <c r="GD32" s="119"/>
      <c r="GE32" s="119"/>
      <c r="GF32" s="119"/>
      <c r="GG32" s="119"/>
      <c r="GH32" s="119"/>
      <c r="GI32" s="119"/>
      <c r="GJ32" s="119"/>
      <c r="GK32" s="119"/>
      <c r="GL32" s="119"/>
      <c r="GM32" s="119"/>
      <c r="GN32" s="119"/>
      <c r="GO32" s="119"/>
      <c r="GP32" s="119"/>
      <c r="GQ32" s="119"/>
      <c r="GR32" s="119"/>
      <c r="GS32" s="119"/>
      <c r="GT32" s="119"/>
      <c r="GU32" s="119"/>
      <c r="GV32" s="119"/>
      <c r="GW32" s="119"/>
      <c r="GX32" s="119"/>
      <c r="GY32" s="119"/>
      <c r="GZ32" s="119"/>
      <c r="HA32" s="119"/>
      <c r="HB32" s="119"/>
      <c r="HC32" s="119"/>
      <c r="HD32" s="119"/>
      <c r="HE32" s="119"/>
      <c r="HF32" s="119"/>
      <c r="HG32" s="119"/>
      <c r="HH32" s="119"/>
      <c r="HI32" s="119"/>
      <c r="HJ32" s="119"/>
      <c r="HK32" s="119"/>
      <c r="HL32" s="119"/>
      <c r="HM32" s="119"/>
      <c r="HN32" s="119"/>
      <c r="HO32" s="119"/>
      <c r="HP32" s="119"/>
      <c r="HQ32" s="119"/>
      <c r="HR32" s="119"/>
      <c r="HS32" s="119"/>
      <c r="HT32" s="119"/>
      <c r="HU32" s="119"/>
      <c r="HV32" s="119"/>
      <c r="HW32" s="119"/>
      <c r="HX32" s="119"/>
      <c r="HY32" s="119"/>
      <c r="HZ32" s="119"/>
      <c r="IA32" s="119"/>
      <c r="IB32" s="119"/>
      <c r="IC32" s="119"/>
      <c r="ID32" s="119"/>
      <c r="IE32" s="119"/>
      <c r="IF32" s="119"/>
      <c r="IG32" s="119"/>
      <c r="IH32" s="119"/>
      <c r="II32" s="119"/>
      <c r="IJ32" s="119"/>
      <c r="IK32" s="119"/>
      <c r="IL32" s="119"/>
      <c r="IM32" s="119"/>
      <c r="IN32" s="119"/>
      <c r="IO32" s="119"/>
      <c r="IP32" s="119"/>
      <c r="IQ32" s="119"/>
      <c r="IR32" s="119"/>
      <c r="IS32" s="119"/>
      <c r="IT32" s="119"/>
      <c r="IU32" s="119"/>
      <c r="IV32" s="119"/>
      <c r="IW32" s="119"/>
    </row>
    <row r="33" spans="1:257" s="187" customFormat="1" ht="18" customHeight="1" x14ac:dyDescent="0.35">
      <c r="A33" s="195">
        <v>24</v>
      </c>
      <c r="B33" s="575"/>
      <c r="C33" s="548"/>
      <c r="D33" s="1266" t="s">
        <v>808</v>
      </c>
      <c r="E33" s="238"/>
      <c r="F33" s="238"/>
      <c r="G33" s="576"/>
      <c r="H33" s="240"/>
      <c r="I33" s="1270">
        <v>372</v>
      </c>
      <c r="J33" s="1270">
        <v>41</v>
      </c>
      <c r="K33" s="1270">
        <v>20800</v>
      </c>
      <c r="L33" s="1270"/>
      <c r="M33" s="1270"/>
      <c r="N33" s="1271"/>
      <c r="O33" s="576"/>
      <c r="P33" s="1275">
        <f>SUM(I33:N33)</f>
        <v>21213</v>
      </c>
      <c r="Q33" s="1246"/>
      <c r="R33" s="119"/>
      <c r="S33" s="119"/>
      <c r="T33" s="119"/>
      <c r="U33" s="119"/>
      <c r="V33" s="119"/>
      <c r="W33" s="119"/>
      <c r="X33" s="119"/>
      <c r="Y33" s="119"/>
      <c r="Z33" s="119"/>
      <c r="AA33" s="119"/>
      <c r="AB33" s="119"/>
      <c r="AC33" s="119"/>
      <c r="AD33" s="119"/>
      <c r="AE33" s="119"/>
      <c r="AF33" s="119"/>
      <c r="AG33" s="119"/>
      <c r="AH33" s="119"/>
      <c r="AI33" s="119"/>
      <c r="AJ33" s="119"/>
      <c r="AK33" s="119"/>
      <c r="AL33" s="119"/>
      <c r="AM33" s="119"/>
      <c r="AN33" s="119"/>
      <c r="AO33" s="119"/>
      <c r="AP33" s="119"/>
      <c r="AQ33" s="119"/>
      <c r="AR33" s="119"/>
      <c r="AS33" s="119"/>
      <c r="AT33" s="119"/>
      <c r="AU33" s="119"/>
      <c r="AV33" s="119"/>
      <c r="AW33" s="119"/>
      <c r="AX33" s="119"/>
      <c r="AY33" s="119"/>
      <c r="AZ33" s="119"/>
      <c r="BA33" s="119"/>
      <c r="BB33" s="119"/>
      <c r="BC33" s="119"/>
      <c r="BD33" s="119"/>
      <c r="BE33" s="119"/>
      <c r="BF33" s="119"/>
      <c r="BG33" s="119"/>
      <c r="BH33" s="119"/>
      <c r="BI33" s="119"/>
      <c r="BJ33" s="119"/>
      <c r="BK33" s="119"/>
      <c r="BL33" s="119"/>
      <c r="BM33" s="119"/>
      <c r="BN33" s="119"/>
      <c r="BO33" s="119"/>
      <c r="BP33" s="119"/>
      <c r="BQ33" s="119"/>
      <c r="BR33" s="119"/>
      <c r="BS33" s="119"/>
      <c r="BT33" s="119"/>
      <c r="BU33" s="119"/>
      <c r="BV33" s="119"/>
      <c r="BW33" s="119"/>
      <c r="BX33" s="119"/>
      <c r="BY33" s="119"/>
      <c r="BZ33" s="119"/>
      <c r="CA33" s="119"/>
      <c r="CB33" s="119"/>
      <c r="CC33" s="119"/>
      <c r="CD33" s="119"/>
      <c r="CE33" s="119"/>
      <c r="CF33" s="119"/>
      <c r="CG33" s="119"/>
      <c r="CH33" s="119"/>
      <c r="CI33" s="119"/>
      <c r="CJ33" s="119"/>
      <c r="CK33" s="119"/>
      <c r="CL33" s="119"/>
      <c r="CM33" s="119"/>
      <c r="CN33" s="119"/>
      <c r="CO33" s="119"/>
      <c r="CP33" s="119"/>
      <c r="CQ33" s="119"/>
      <c r="CR33" s="119"/>
      <c r="CS33" s="119"/>
      <c r="CT33" s="119"/>
      <c r="CU33" s="119"/>
      <c r="CV33" s="119"/>
      <c r="CW33" s="119"/>
      <c r="CX33" s="119"/>
      <c r="CY33" s="119"/>
      <c r="CZ33" s="119"/>
      <c r="DA33" s="119"/>
      <c r="DB33" s="119"/>
      <c r="DC33" s="119"/>
      <c r="DD33" s="119"/>
      <c r="DE33" s="119"/>
      <c r="DF33" s="119"/>
      <c r="DG33" s="119"/>
      <c r="DH33" s="119"/>
      <c r="DI33" s="119"/>
      <c r="DJ33" s="119"/>
      <c r="DK33" s="119"/>
      <c r="DL33" s="119"/>
      <c r="DM33" s="119"/>
      <c r="DN33" s="119"/>
      <c r="DO33" s="119"/>
      <c r="DP33" s="119"/>
      <c r="DQ33" s="119"/>
      <c r="DR33" s="119"/>
      <c r="DS33" s="119"/>
      <c r="DT33" s="119"/>
      <c r="DU33" s="119"/>
      <c r="DV33" s="119"/>
      <c r="DW33" s="119"/>
      <c r="DX33" s="119"/>
      <c r="DY33" s="119"/>
      <c r="DZ33" s="119"/>
      <c r="EA33" s="119"/>
      <c r="EB33" s="119"/>
      <c r="EC33" s="119"/>
      <c r="ED33" s="119"/>
      <c r="EE33" s="119"/>
      <c r="EF33" s="119"/>
      <c r="EG33" s="119"/>
      <c r="EH33" s="119"/>
      <c r="EI33" s="119"/>
      <c r="EJ33" s="119"/>
      <c r="EK33" s="119"/>
      <c r="EL33" s="119"/>
      <c r="EM33" s="119"/>
      <c r="EN33" s="119"/>
      <c r="EO33" s="119"/>
      <c r="EP33" s="119"/>
      <c r="EQ33" s="119"/>
      <c r="ER33" s="119"/>
      <c r="ES33" s="119"/>
      <c r="ET33" s="119"/>
      <c r="EU33" s="119"/>
      <c r="EV33" s="119"/>
      <c r="EW33" s="119"/>
      <c r="EX33" s="119"/>
      <c r="EY33" s="119"/>
      <c r="EZ33" s="119"/>
      <c r="FA33" s="119"/>
      <c r="FB33" s="119"/>
      <c r="FC33" s="119"/>
      <c r="FD33" s="119"/>
      <c r="FE33" s="119"/>
      <c r="FF33" s="119"/>
      <c r="FG33" s="119"/>
      <c r="FH33" s="119"/>
      <c r="FI33" s="119"/>
      <c r="FJ33" s="119"/>
      <c r="FK33" s="119"/>
      <c r="FL33" s="119"/>
      <c r="FM33" s="119"/>
      <c r="FN33" s="119"/>
      <c r="FO33" s="119"/>
      <c r="FP33" s="119"/>
      <c r="FQ33" s="119"/>
      <c r="FR33" s="119"/>
      <c r="FS33" s="119"/>
      <c r="FT33" s="119"/>
      <c r="FU33" s="119"/>
      <c r="FV33" s="119"/>
      <c r="FW33" s="119"/>
      <c r="FX33" s="119"/>
      <c r="FY33" s="119"/>
      <c r="FZ33" s="119"/>
      <c r="GA33" s="119"/>
      <c r="GB33" s="119"/>
      <c r="GC33" s="119"/>
      <c r="GD33" s="119"/>
      <c r="GE33" s="119"/>
      <c r="GF33" s="119"/>
      <c r="GG33" s="119"/>
      <c r="GH33" s="119"/>
      <c r="GI33" s="119"/>
      <c r="GJ33" s="119"/>
      <c r="GK33" s="119"/>
      <c r="GL33" s="119"/>
      <c r="GM33" s="119"/>
      <c r="GN33" s="119"/>
      <c r="GO33" s="119"/>
      <c r="GP33" s="119"/>
      <c r="GQ33" s="119"/>
      <c r="GR33" s="119"/>
      <c r="GS33" s="119"/>
      <c r="GT33" s="119"/>
      <c r="GU33" s="119"/>
      <c r="GV33" s="119"/>
      <c r="GW33" s="119"/>
      <c r="GX33" s="119"/>
      <c r="GY33" s="119"/>
      <c r="GZ33" s="119"/>
      <c r="HA33" s="119"/>
      <c r="HB33" s="119"/>
      <c r="HC33" s="119"/>
      <c r="HD33" s="119"/>
      <c r="HE33" s="119"/>
      <c r="HF33" s="119"/>
      <c r="HG33" s="119"/>
      <c r="HH33" s="119"/>
      <c r="HI33" s="119"/>
      <c r="HJ33" s="119"/>
      <c r="HK33" s="119"/>
      <c r="HL33" s="119"/>
      <c r="HM33" s="119"/>
      <c r="HN33" s="119"/>
      <c r="HO33" s="119"/>
      <c r="HP33" s="119"/>
      <c r="HQ33" s="119"/>
      <c r="HR33" s="119"/>
      <c r="HS33" s="119"/>
      <c r="HT33" s="119"/>
      <c r="HU33" s="119"/>
      <c r="HV33" s="119"/>
      <c r="HW33" s="119"/>
      <c r="HX33" s="119"/>
      <c r="HY33" s="119"/>
      <c r="HZ33" s="119"/>
      <c r="IA33" s="119"/>
      <c r="IB33" s="119"/>
      <c r="IC33" s="119"/>
      <c r="ID33" s="119"/>
      <c r="IE33" s="119"/>
      <c r="IF33" s="119"/>
      <c r="IG33" s="119"/>
      <c r="IH33" s="119"/>
      <c r="II33" s="119"/>
      <c r="IJ33" s="119"/>
      <c r="IK33" s="119"/>
      <c r="IL33" s="119"/>
      <c r="IM33" s="119"/>
      <c r="IN33" s="119"/>
      <c r="IO33" s="119"/>
      <c r="IP33" s="119"/>
      <c r="IQ33" s="119"/>
      <c r="IR33" s="119"/>
      <c r="IS33" s="119"/>
      <c r="IT33" s="119"/>
      <c r="IU33" s="119"/>
      <c r="IV33" s="119"/>
      <c r="IW33" s="119"/>
    </row>
    <row r="34" spans="1:257" s="187" customFormat="1" ht="18" customHeight="1" x14ac:dyDescent="0.35">
      <c r="A34" s="195">
        <v>25</v>
      </c>
      <c r="B34" s="575"/>
      <c r="C34" s="548"/>
      <c r="D34" s="1265" t="s">
        <v>656</v>
      </c>
      <c r="E34" s="238"/>
      <c r="F34" s="238"/>
      <c r="G34" s="576"/>
      <c r="H34" s="240"/>
      <c r="I34" s="1273"/>
      <c r="J34" s="1273"/>
      <c r="K34" s="1273"/>
      <c r="L34" s="1273"/>
      <c r="M34" s="1273"/>
      <c r="N34" s="1273"/>
      <c r="O34" s="1781"/>
      <c r="P34" s="1276">
        <f t="shared" ref="P34:P35" si="7">SUM(I34:N34)</f>
        <v>0</v>
      </c>
      <c r="Q34" s="1246"/>
      <c r="R34" s="119"/>
      <c r="S34" s="119"/>
      <c r="T34" s="119"/>
      <c r="U34" s="119"/>
      <c r="V34" s="119"/>
      <c r="W34" s="119"/>
      <c r="X34" s="119"/>
      <c r="Y34" s="119"/>
      <c r="Z34" s="119"/>
      <c r="AA34" s="119"/>
      <c r="AB34" s="119"/>
      <c r="AC34" s="119"/>
      <c r="AD34" s="119"/>
      <c r="AE34" s="119"/>
      <c r="AF34" s="119"/>
      <c r="AG34" s="119"/>
      <c r="AH34" s="119"/>
      <c r="AI34" s="119"/>
      <c r="AJ34" s="119"/>
      <c r="AK34" s="119"/>
      <c r="AL34" s="119"/>
      <c r="AM34" s="119"/>
      <c r="AN34" s="119"/>
      <c r="AO34" s="119"/>
      <c r="AP34" s="119"/>
      <c r="AQ34" s="119"/>
      <c r="AR34" s="119"/>
      <c r="AS34" s="119"/>
      <c r="AT34" s="119"/>
      <c r="AU34" s="119"/>
      <c r="AV34" s="119"/>
      <c r="AW34" s="119"/>
      <c r="AX34" s="119"/>
      <c r="AY34" s="119"/>
      <c r="AZ34" s="119"/>
      <c r="BA34" s="119"/>
      <c r="BB34" s="119"/>
      <c r="BC34" s="119"/>
      <c r="BD34" s="119"/>
      <c r="BE34" s="119"/>
      <c r="BF34" s="119"/>
      <c r="BG34" s="119"/>
      <c r="BH34" s="119"/>
      <c r="BI34" s="119"/>
      <c r="BJ34" s="119"/>
      <c r="BK34" s="119"/>
      <c r="BL34" s="119"/>
      <c r="BM34" s="119"/>
      <c r="BN34" s="119"/>
      <c r="BO34" s="119"/>
      <c r="BP34" s="119"/>
      <c r="BQ34" s="119"/>
      <c r="BR34" s="119"/>
      <c r="BS34" s="119"/>
      <c r="BT34" s="119"/>
      <c r="BU34" s="119"/>
      <c r="BV34" s="119"/>
      <c r="BW34" s="119"/>
      <c r="BX34" s="119"/>
      <c r="BY34" s="119"/>
      <c r="BZ34" s="119"/>
      <c r="CA34" s="119"/>
      <c r="CB34" s="119"/>
      <c r="CC34" s="119"/>
      <c r="CD34" s="119"/>
      <c r="CE34" s="119"/>
      <c r="CF34" s="119"/>
      <c r="CG34" s="119"/>
      <c r="CH34" s="119"/>
      <c r="CI34" s="119"/>
      <c r="CJ34" s="119"/>
      <c r="CK34" s="119"/>
      <c r="CL34" s="119"/>
      <c r="CM34" s="119"/>
      <c r="CN34" s="119"/>
      <c r="CO34" s="119"/>
      <c r="CP34" s="119"/>
      <c r="CQ34" s="119"/>
      <c r="CR34" s="119"/>
      <c r="CS34" s="119"/>
      <c r="CT34" s="119"/>
      <c r="CU34" s="119"/>
      <c r="CV34" s="119"/>
      <c r="CW34" s="119"/>
      <c r="CX34" s="119"/>
      <c r="CY34" s="119"/>
      <c r="CZ34" s="119"/>
      <c r="DA34" s="119"/>
      <c r="DB34" s="119"/>
      <c r="DC34" s="119"/>
      <c r="DD34" s="119"/>
      <c r="DE34" s="119"/>
      <c r="DF34" s="119"/>
      <c r="DG34" s="119"/>
      <c r="DH34" s="119"/>
      <c r="DI34" s="119"/>
      <c r="DJ34" s="119"/>
      <c r="DK34" s="119"/>
      <c r="DL34" s="119"/>
      <c r="DM34" s="119"/>
      <c r="DN34" s="119"/>
      <c r="DO34" s="119"/>
      <c r="DP34" s="119"/>
      <c r="DQ34" s="119"/>
      <c r="DR34" s="119"/>
      <c r="DS34" s="119"/>
      <c r="DT34" s="119"/>
      <c r="DU34" s="119"/>
      <c r="DV34" s="119"/>
      <c r="DW34" s="119"/>
      <c r="DX34" s="119"/>
      <c r="DY34" s="119"/>
      <c r="DZ34" s="119"/>
      <c r="EA34" s="119"/>
      <c r="EB34" s="119"/>
      <c r="EC34" s="119"/>
      <c r="ED34" s="119"/>
      <c r="EE34" s="119"/>
      <c r="EF34" s="119"/>
      <c r="EG34" s="119"/>
      <c r="EH34" s="119"/>
      <c r="EI34" s="119"/>
      <c r="EJ34" s="119"/>
      <c r="EK34" s="119"/>
      <c r="EL34" s="119"/>
      <c r="EM34" s="119"/>
      <c r="EN34" s="119"/>
      <c r="EO34" s="119"/>
      <c r="EP34" s="119"/>
      <c r="EQ34" s="119"/>
      <c r="ER34" s="119"/>
      <c r="ES34" s="119"/>
      <c r="ET34" s="119"/>
      <c r="EU34" s="119"/>
      <c r="EV34" s="119"/>
      <c r="EW34" s="119"/>
      <c r="EX34" s="119"/>
      <c r="EY34" s="119"/>
      <c r="EZ34" s="119"/>
      <c r="FA34" s="119"/>
      <c r="FB34" s="119"/>
      <c r="FC34" s="119"/>
      <c r="FD34" s="119"/>
      <c r="FE34" s="119"/>
      <c r="FF34" s="119"/>
      <c r="FG34" s="119"/>
      <c r="FH34" s="119"/>
      <c r="FI34" s="119"/>
      <c r="FJ34" s="119"/>
      <c r="FK34" s="119"/>
      <c r="FL34" s="119"/>
      <c r="FM34" s="119"/>
      <c r="FN34" s="119"/>
      <c r="FO34" s="119"/>
      <c r="FP34" s="119"/>
      <c r="FQ34" s="119"/>
      <c r="FR34" s="119"/>
      <c r="FS34" s="119"/>
      <c r="FT34" s="119"/>
      <c r="FU34" s="119"/>
      <c r="FV34" s="119"/>
      <c r="FW34" s="119"/>
      <c r="FX34" s="119"/>
      <c r="FY34" s="119"/>
      <c r="FZ34" s="119"/>
      <c r="GA34" s="119"/>
      <c r="GB34" s="119"/>
      <c r="GC34" s="119"/>
      <c r="GD34" s="119"/>
      <c r="GE34" s="119"/>
      <c r="GF34" s="119"/>
      <c r="GG34" s="119"/>
      <c r="GH34" s="119"/>
      <c r="GI34" s="119"/>
      <c r="GJ34" s="119"/>
      <c r="GK34" s="119"/>
      <c r="GL34" s="119"/>
      <c r="GM34" s="119"/>
      <c r="GN34" s="119"/>
      <c r="GO34" s="119"/>
      <c r="GP34" s="119"/>
      <c r="GQ34" s="119"/>
      <c r="GR34" s="119"/>
      <c r="GS34" s="119"/>
      <c r="GT34" s="119"/>
      <c r="GU34" s="119"/>
      <c r="GV34" s="119"/>
      <c r="GW34" s="119"/>
      <c r="GX34" s="119"/>
      <c r="GY34" s="119"/>
      <c r="GZ34" s="119"/>
      <c r="HA34" s="119"/>
      <c r="HB34" s="119"/>
      <c r="HC34" s="119"/>
      <c r="HD34" s="119"/>
      <c r="HE34" s="119"/>
      <c r="HF34" s="119"/>
      <c r="HG34" s="119"/>
      <c r="HH34" s="119"/>
      <c r="HI34" s="119"/>
      <c r="HJ34" s="119"/>
      <c r="HK34" s="119"/>
      <c r="HL34" s="119"/>
      <c r="HM34" s="119"/>
      <c r="HN34" s="119"/>
      <c r="HO34" s="119"/>
      <c r="HP34" s="119"/>
      <c r="HQ34" s="119"/>
      <c r="HR34" s="119"/>
      <c r="HS34" s="119"/>
      <c r="HT34" s="119"/>
      <c r="HU34" s="119"/>
      <c r="HV34" s="119"/>
      <c r="HW34" s="119"/>
      <c r="HX34" s="119"/>
      <c r="HY34" s="119"/>
      <c r="HZ34" s="119"/>
      <c r="IA34" s="119"/>
      <c r="IB34" s="119"/>
      <c r="IC34" s="119"/>
      <c r="ID34" s="119"/>
      <c r="IE34" s="119"/>
      <c r="IF34" s="119"/>
      <c r="IG34" s="119"/>
      <c r="IH34" s="119"/>
      <c r="II34" s="119"/>
      <c r="IJ34" s="119"/>
      <c r="IK34" s="119"/>
      <c r="IL34" s="119"/>
      <c r="IM34" s="119"/>
      <c r="IN34" s="119"/>
      <c r="IO34" s="119"/>
      <c r="IP34" s="119"/>
      <c r="IQ34" s="119"/>
      <c r="IR34" s="119"/>
      <c r="IS34" s="119"/>
      <c r="IT34" s="119"/>
      <c r="IU34" s="119"/>
      <c r="IV34" s="119"/>
      <c r="IW34" s="119"/>
    </row>
    <row r="35" spans="1:257" s="187" customFormat="1" ht="18" customHeight="1" x14ac:dyDescent="0.35">
      <c r="A35" s="195">
        <v>26</v>
      </c>
      <c r="B35" s="575"/>
      <c r="C35" s="548"/>
      <c r="D35" s="1266" t="s">
        <v>862</v>
      </c>
      <c r="E35" s="238"/>
      <c r="F35" s="238"/>
      <c r="G35" s="576"/>
      <c r="H35" s="240"/>
      <c r="I35" s="1270">
        <f>SUM(I33:I34)</f>
        <v>372</v>
      </c>
      <c r="J35" s="1270">
        <f t="shared" ref="J35:K35" si="8">SUM(J33:J34)</f>
        <v>41</v>
      </c>
      <c r="K35" s="1270">
        <f t="shared" si="8"/>
        <v>20800</v>
      </c>
      <c r="L35" s="1270"/>
      <c r="M35" s="1270"/>
      <c r="N35" s="1271"/>
      <c r="O35" s="576"/>
      <c r="P35" s="1275">
        <f t="shared" si="7"/>
        <v>21213</v>
      </c>
      <c r="Q35" s="1246"/>
      <c r="R35" s="119"/>
      <c r="S35" s="119"/>
      <c r="T35" s="119"/>
      <c r="U35" s="119"/>
      <c r="V35" s="119"/>
      <c r="W35" s="119"/>
      <c r="X35" s="119"/>
      <c r="Y35" s="119"/>
      <c r="Z35" s="119"/>
      <c r="AA35" s="119"/>
      <c r="AB35" s="119"/>
      <c r="AC35" s="119"/>
      <c r="AD35" s="119"/>
      <c r="AE35" s="119"/>
      <c r="AF35" s="119"/>
      <c r="AG35" s="119"/>
      <c r="AH35" s="119"/>
      <c r="AI35" s="119"/>
      <c r="AJ35" s="119"/>
      <c r="AK35" s="119"/>
      <c r="AL35" s="119"/>
      <c r="AM35" s="119"/>
      <c r="AN35" s="119"/>
      <c r="AO35" s="119"/>
      <c r="AP35" s="119"/>
      <c r="AQ35" s="119"/>
      <c r="AR35" s="119"/>
      <c r="AS35" s="119"/>
      <c r="AT35" s="119"/>
      <c r="AU35" s="119"/>
      <c r="AV35" s="119"/>
      <c r="AW35" s="119"/>
      <c r="AX35" s="119"/>
      <c r="AY35" s="119"/>
      <c r="AZ35" s="119"/>
      <c r="BA35" s="119"/>
      <c r="BB35" s="119"/>
      <c r="BC35" s="119"/>
      <c r="BD35" s="119"/>
      <c r="BE35" s="119"/>
      <c r="BF35" s="119"/>
      <c r="BG35" s="119"/>
      <c r="BH35" s="119"/>
      <c r="BI35" s="119"/>
      <c r="BJ35" s="119"/>
      <c r="BK35" s="119"/>
      <c r="BL35" s="119"/>
      <c r="BM35" s="119"/>
      <c r="BN35" s="119"/>
      <c r="BO35" s="119"/>
      <c r="BP35" s="119"/>
      <c r="BQ35" s="119"/>
      <c r="BR35" s="119"/>
      <c r="BS35" s="119"/>
      <c r="BT35" s="119"/>
      <c r="BU35" s="119"/>
      <c r="BV35" s="119"/>
      <c r="BW35" s="119"/>
      <c r="BX35" s="119"/>
      <c r="BY35" s="119"/>
      <c r="BZ35" s="119"/>
      <c r="CA35" s="119"/>
      <c r="CB35" s="119"/>
      <c r="CC35" s="119"/>
      <c r="CD35" s="119"/>
      <c r="CE35" s="119"/>
      <c r="CF35" s="119"/>
      <c r="CG35" s="119"/>
      <c r="CH35" s="119"/>
      <c r="CI35" s="119"/>
      <c r="CJ35" s="119"/>
      <c r="CK35" s="119"/>
      <c r="CL35" s="119"/>
      <c r="CM35" s="119"/>
      <c r="CN35" s="119"/>
      <c r="CO35" s="119"/>
      <c r="CP35" s="119"/>
      <c r="CQ35" s="119"/>
      <c r="CR35" s="119"/>
      <c r="CS35" s="119"/>
      <c r="CT35" s="119"/>
      <c r="CU35" s="119"/>
      <c r="CV35" s="119"/>
      <c r="CW35" s="119"/>
      <c r="CX35" s="119"/>
      <c r="CY35" s="119"/>
      <c r="CZ35" s="119"/>
      <c r="DA35" s="119"/>
      <c r="DB35" s="119"/>
      <c r="DC35" s="119"/>
      <c r="DD35" s="119"/>
      <c r="DE35" s="119"/>
      <c r="DF35" s="119"/>
      <c r="DG35" s="119"/>
      <c r="DH35" s="119"/>
      <c r="DI35" s="119"/>
      <c r="DJ35" s="119"/>
      <c r="DK35" s="119"/>
      <c r="DL35" s="119"/>
      <c r="DM35" s="119"/>
      <c r="DN35" s="119"/>
      <c r="DO35" s="119"/>
      <c r="DP35" s="119"/>
      <c r="DQ35" s="119"/>
      <c r="DR35" s="119"/>
      <c r="DS35" s="119"/>
      <c r="DT35" s="119"/>
      <c r="DU35" s="119"/>
      <c r="DV35" s="119"/>
      <c r="DW35" s="119"/>
      <c r="DX35" s="119"/>
      <c r="DY35" s="119"/>
      <c r="DZ35" s="119"/>
      <c r="EA35" s="119"/>
      <c r="EB35" s="119"/>
      <c r="EC35" s="119"/>
      <c r="ED35" s="119"/>
      <c r="EE35" s="119"/>
      <c r="EF35" s="119"/>
      <c r="EG35" s="119"/>
      <c r="EH35" s="119"/>
      <c r="EI35" s="119"/>
      <c r="EJ35" s="119"/>
      <c r="EK35" s="119"/>
      <c r="EL35" s="119"/>
      <c r="EM35" s="119"/>
      <c r="EN35" s="119"/>
      <c r="EO35" s="119"/>
      <c r="EP35" s="119"/>
      <c r="EQ35" s="119"/>
      <c r="ER35" s="119"/>
      <c r="ES35" s="119"/>
      <c r="ET35" s="119"/>
      <c r="EU35" s="119"/>
      <c r="EV35" s="119"/>
      <c r="EW35" s="119"/>
      <c r="EX35" s="119"/>
      <c r="EY35" s="119"/>
      <c r="EZ35" s="119"/>
      <c r="FA35" s="119"/>
      <c r="FB35" s="119"/>
      <c r="FC35" s="119"/>
      <c r="FD35" s="119"/>
      <c r="FE35" s="119"/>
      <c r="FF35" s="119"/>
      <c r="FG35" s="119"/>
      <c r="FH35" s="119"/>
      <c r="FI35" s="119"/>
      <c r="FJ35" s="119"/>
      <c r="FK35" s="119"/>
      <c r="FL35" s="119"/>
      <c r="FM35" s="119"/>
      <c r="FN35" s="119"/>
      <c r="FO35" s="119"/>
      <c r="FP35" s="119"/>
      <c r="FQ35" s="119"/>
      <c r="FR35" s="119"/>
      <c r="FS35" s="119"/>
      <c r="FT35" s="119"/>
      <c r="FU35" s="119"/>
      <c r="FV35" s="119"/>
      <c r="FW35" s="119"/>
      <c r="FX35" s="119"/>
      <c r="FY35" s="119"/>
      <c r="FZ35" s="119"/>
      <c r="GA35" s="119"/>
      <c r="GB35" s="119"/>
      <c r="GC35" s="119"/>
      <c r="GD35" s="119"/>
      <c r="GE35" s="119"/>
      <c r="GF35" s="119"/>
      <c r="GG35" s="119"/>
      <c r="GH35" s="119"/>
      <c r="GI35" s="119"/>
      <c r="GJ35" s="119"/>
      <c r="GK35" s="119"/>
      <c r="GL35" s="119"/>
      <c r="GM35" s="119"/>
      <c r="GN35" s="119"/>
      <c r="GO35" s="119"/>
      <c r="GP35" s="119"/>
      <c r="GQ35" s="119"/>
      <c r="GR35" s="119"/>
      <c r="GS35" s="119"/>
      <c r="GT35" s="119"/>
      <c r="GU35" s="119"/>
      <c r="GV35" s="119"/>
      <c r="GW35" s="119"/>
      <c r="GX35" s="119"/>
      <c r="GY35" s="119"/>
      <c r="GZ35" s="119"/>
      <c r="HA35" s="119"/>
      <c r="HB35" s="119"/>
      <c r="HC35" s="119"/>
      <c r="HD35" s="119"/>
      <c r="HE35" s="119"/>
      <c r="HF35" s="119"/>
      <c r="HG35" s="119"/>
      <c r="HH35" s="119"/>
      <c r="HI35" s="119"/>
      <c r="HJ35" s="119"/>
      <c r="HK35" s="119"/>
      <c r="HL35" s="119"/>
      <c r="HM35" s="119"/>
      <c r="HN35" s="119"/>
      <c r="HO35" s="119"/>
      <c r="HP35" s="119"/>
      <c r="HQ35" s="119"/>
      <c r="HR35" s="119"/>
      <c r="HS35" s="119"/>
      <c r="HT35" s="119"/>
      <c r="HU35" s="119"/>
      <c r="HV35" s="119"/>
      <c r="HW35" s="119"/>
      <c r="HX35" s="119"/>
      <c r="HY35" s="119"/>
      <c r="HZ35" s="119"/>
      <c r="IA35" s="119"/>
      <c r="IB35" s="119"/>
      <c r="IC35" s="119"/>
      <c r="ID35" s="119"/>
      <c r="IE35" s="119"/>
      <c r="IF35" s="119"/>
      <c r="IG35" s="119"/>
      <c r="IH35" s="119"/>
      <c r="II35" s="119"/>
      <c r="IJ35" s="119"/>
      <c r="IK35" s="119"/>
      <c r="IL35" s="119"/>
      <c r="IM35" s="119"/>
      <c r="IN35" s="119"/>
      <c r="IO35" s="119"/>
      <c r="IP35" s="119"/>
      <c r="IQ35" s="119"/>
      <c r="IR35" s="119"/>
      <c r="IS35" s="119"/>
      <c r="IT35" s="119"/>
      <c r="IU35" s="119"/>
      <c r="IV35" s="119"/>
      <c r="IW35" s="119"/>
    </row>
    <row r="36" spans="1:257" ht="22.5" customHeight="1" x14ac:dyDescent="0.35">
      <c r="A36" s="195">
        <v>27</v>
      </c>
      <c r="B36" s="575"/>
      <c r="C36" s="871">
        <v>20</v>
      </c>
      <c r="D36" s="121" t="s">
        <v>409</v>
      </c>
      <c r="E36" s="547">
        <f>F36+G36+P40+Q37+3578+1</f>
        <v>10220</v>
      </c>
      <c r="F36" s="238"/>
      <c r="G36" s="576"/>
      <c r="H36" s="578" t="s">
        <v>24</v>
      </c>
      <c r="I36" s="549"/>
      <c r="J36" s="549"/>
      <c r="K36" s="549"/>
      <c r="L36" s="549"/>
      <c r="M36" s="549"/>
      <c r="N36" s="577"/>
      <c r="O36" s="1782"/>
      <c r="P36" s="236"/>
      <c r="Q36" s="235"/>
    </row>
    <row r="37" spans="1:257" s="187" customFormat="1" ht="18" customHeight="1" x14ac:dyDescent="0.35">
      <c r="A37" s="195">
        <v>28</v>
      </c>
      <c r="B37" s="575"/>
      <c r="C37" s="548"/>
      <c r="D37" s="237" t="s">
        <v>245</v>
      </c>
      <c r="E37" s="238"/>
      <c r="F37" s="238"/>
      <c r="G37" s="576"/>
      <c r="H37" s="240"/>
      <c r="I37" s="549"/>
      <c r="J37" s="549"/>
      <c r="K37" s="549">
        <v>3694</v>
      </c>
      <c r="L37" s="549"/>
      <c r="M37" s="549"/>
      <c r="N37" s="577"/>
      <c r="O37" s="1782"/>
      <c r="P37" s="236">
        <f>SUM(I37:N37)</f>
        <v>3694</v>
      </c>
      <c r="Q37" s="580">
        <f>6526-451</f>
        <v>6075</v>
      </c>
      <c r="R37" s="119"/>
      <c r="S37" s="119"/>
      <c r="T37" s="119"/>
      <c r="U37" s="119"/>
      <c r="V37" s="119"/>
      <c r="W37" s="119"/>
      <c r="X37" s="119"/>
      <c r="Y37" s="119"/>
      <c r="Z37" s="119"/>
      <c r="AA37" s="119"/>
      <c r="AB37" s="119"/>
      <c r="AC37" s="119"/>
      <c r="AD37" s="119"/>
      <c r="AE37" s="119"/>
      <c r="AF37" s="119"/>
      <c r="AG37" s="119"/>
      <c r="AH37" s="119"/>
      <c r="AI37" s="119"/>
      <c r="AJ37" s="119"/>
      <c r="AK37" s="119"/>
      <c r="AL37" s="119"/>
      <c r="AM37" s="119"/>
      <c r="AN37" s="119"/>
      <c r="AO37" s="119"/>
      <c r="AP37" s="119"/>
      <c r="AQ37" s="119"/>
      <c r="AR37" s="119"/>
      <c r="AS37" s="119"/>
      <c r="AT37" s="119"/>
      <c r="AU37" s="119"/>
      <c r="AV37" s="119"/>
      <c r="AW37" s="119"/>
      <c r="AX37" s="119"/>
      <c r="AY37" s="119"/>
      <c r="AZ37" s="119"/>
      <c r="BA37" s="119"/>
      <c r="BB37" s="119"/>
      <c r="BC37" s="119"/>
      <c r="BD37" s="119"/>
      <c r="BE37" s="119"/>
      <c r="BF37" s="119"/>
      <c r="BG37" s="119"/>
      <c r="BH37" s="119"/>
      <c r="BI37" s="119"/>
      <c r="BJ37" s="119"/>
      <c r="BK37" s="119"/>
      <c r="BL37" s="119"/>
      <c r="BM37" s="119"/>
      <c r="BN37" s="119"/>
      <c r="BO37" s="119"/>
      <c r="BP37" s="119"/>
      <c r="BQ37" s="119"/>
      <c r="BR37" s="119"/>
      <c r="BS37" s="119"/>
      <c r="BT37" s="119"/>
      <c r="BU37" s="119"/>
      <c r="BV37" s="119"/>
      <c r="BW37" s="119"/>
      <c r="BX37" s="119"/>
      <c r="BY37" s="119"/>
      <c r="BZ37" s="119"/>
      <c r="CA37" s="119"/>
      <c r="CB37" s="119"/>
      <c r="CC37" s="119"/>
      <c r="CD37" s="119"/>
      <c r="CE37" s="119"/>
      <c r="CF37" s="119"/>
      <c r="CG37" s="119"/>
      <c r="CH37" s="119"/>
      <c r="CI37" s="119"/>
      <c r="CJ37" s="119"/>
      <c r="CK37" s="119"/>
      <c r="CL37" s="119"/>
      <c r="CM37" s="119"/>
      <c r="CN37" s="119"/>
      <c r="CO37" s="119"/>
      <c r="CP37" s="119"/>
      <c r="CQ37" s="119"/>
      <c r="CR37" s="119"/>
      <c r="CS37" s="119"/>
      <c r="CT37" s="119"/>
      <c r="CU37" s="119"/>
      <c r="CV37" s="119"/>
      <c r="CW37" s="119"/>
      <c r="CX37" s="119"/>
      <c r="CY37" s="119"/>
      <c r="CZ37" s="119"/>
      <c r="DA37" s="119"/>
      <c r="DB37" s="119"/>
      <c r="DC37" s="119"/>
      <c r="DD37" s="119"/>
      <c r="DE37" s="119"/>
      <c r="DF37" s="119"/>
      <c r="DG37" s="119"/>
      <c r="DH37" s="119"/>
      <c r="DI37" s="119"/>
      <c r="DJ37" s="119"/>
      <c r="DK37" s="119"/>
      <c r="DL37" s="119"/>
      <c r="DM37" s="119"/>
      <c r="DN37" s="119"/>
      <c r="DO37" s="119"/>
      <c r="DP37" s="119"/>
      <c r="DQ37" s="119"/>
      <c r="DR37" s="119"/>
      <c r="DS37" s="119"/>
      <c r="DT37" s="119"/>
      <c r="DU37" s="119"/>
      <c r="DV37" s="119"/>
      <c r="DW37" s="119"/>
      <c r="DX37" s="119"/>
      <c r="DY37" s="119"/>
      <c r="DZ37" s="119"/>
      <c r="EA37" s="119"/>
      <c r="EB37" s="119"/>
      <c r="EC37" s="119"/>
      <c r="ED37" s="119"/>
      <c r="EE37" s="119"/>
      <c r="EF37" s="119"/>
      <c r="EG37" s="119"/>
      <c r="EH37" s="119"/>
      <c r="EI37" s="119"/>
      <c r="EJ37" s="119"/>
      <c r="EK37" s="119"/>
      <c r="EL37" s="119"/>
      <c r="EM37" s="119"/>
      <c r="EN37" s="119"/>
      <c r="EO37" s="119"/>
      <c r="EP37" s="119"/>
      <c r="EQ37" s="119"/>
      <c r="ER37" s="119"/>
      <c r="ES37" s="119"/>
      <c r="ET37" s="119"/>
      <c r="EU37" s="119"/>
      <c r="EV37" s="119"/>
      <c r="EW37" s="119"/>
      <c r="EX37" s="119"/>
      <c r="EY37" s="119"/>
      <c r="EZ37" s="119"/>
      <c r="FA37" s="119"/>
      <c r="FB37" s="119"/>
      <c r="FC37" s="119"/>
      <c r="FD37" s="119"/>
      <c r="FE37" s="119"/>
      <c r="FF37" s="119"/>
      <c r="FG37" s="119"/>
      <c r="FH37" s="119"/>
      <c r="FI37" s="119"/>
      <c r="FJ37" s="119"/>
      <c r="FK37" s="119"/>
      <c r="FL37" s="119"/>
      <c r="FM37" s="119"/>
      <c r="FN37" s="119"/>
      <c r="FO37" s="119"/>
      <c r="FP37" s="119"/>
      <c r="FQ37" s="119"/>
      <c r="FR37" s="119"/>
      <c r="FS37" s="119"/>
      <c r="FT37" s="119"/>
      <c r="FU37" s="119"/>
      <c r="FV37" s="119"/>
      <c r="FW37" s="119"/>
      <c r="FX37" s="119"/>
      <c r="FY37" s="119"/>
      <c r="FZ37" s="119"/>
      <c r="GA37" s="119"/>
      <c r="GB37" s="119"/>
      <c r="GC37" s="119"/>
      <c r="GD37" s="119"/>
      <c r="GE37" s="119"/>
      <c r="GF37" s="119"/>
      <c r="GG37" s="119"/>
      <c r="GH37" s="119"/>
      <c r="GI37" s="119"/>
      <c r="GJ37" s="119"/>
      <c r="GK37" s="119"/>
      <c r="GL37" s="119"/>
      <c r="GM37" s="119"/>
      <c r="GN37" s="119"/>
      <c r="GO37" s="119"/>
      <c r="GP37" s="119"/>
      <c r="GQ37" s="119"/>
      <c r="GR37" s="119"/>
      <c r="GS37" s="119"/>
      <c r="GT37" s="119"/>
      <c r="GU37" s="119"/>
      <c r="GV37" s="119"/>
      <c r="GW37" s="119"/>
      <c r="GX37" s="119"/>
      <c r="GY37" s="119"/>
      <c r="GZ37" s="119"/>
      <c r="HA37" s="119"/>
      <c r="HB37" s="119"/>
      <c r="HC37" s="119"/>
      <c r="HD37" s="119"/>
      <c r="HE37" s="119"/>
      <c r="HF37" s="119"/>
      <c r="HG37" s="119"/>
      <c r="HH37" s="119"/>
      <c r="HI37" s="119"/>
      <c r="HJ37" s="119"/>
      <c r="HK37" s="119"/>
      <c r="HL37" s="119"/>
      <c r="HM37" s="119"/>
      <c r="HN37" s="119"/>
      <c r="HO37" s="119"/>
      <c r="HP37" s="119"/>
      <c r="HQ37" s="119"/>
      <c r="HR37" s="119"/>
      <c r="HS37" s="119"/>
      <c r="HT37" s="119"/>
      <c r="HU37" s="119"/>
      <c r="HV37" s="119"/>
      <c r="HW37" s="119"/>
      <c r="HX37" s="119"/>
      <c r="HY37" s="119"/>
      <c r="HZ37" s="119"/>
      <c r="IA37" s="119"/>
      <c r="IB37" s="119"/>
      <c r="IC37" s="119"/>
      <c r="ID37" s="119"/>
      <c r="IE37" s="119"/>
      <c r="IF37" s="119"/>
      <c r="IG37" s="119"/>
      <c r="IH37" s="119"/>
      <c r="II37" s="119"/>
      <c r="IJ37" s="119"/>
      <c r="IK37" s="119"/>
      <c r="IL37" s="119"/>
      <c r="IM37" s="119"/>
      <c r="IN37" s="119"/>
      <c r="IO37" s="119"/>
      <c r="IP37" s="119"/>
      <c r="IQ37" s="119"/>
      <c r="IR37" s="119"/>
      <c r="IS37" s="119"/>
      <c r="IT37" s="119"/>
      <c r="IU37" s="119"/>
      <c r="IV37" s="119"/>
      <c r="IW37" s="119"/>
    </row>
    <row r="38" spans="1:257" s="187" customFormat="1" ht="18" customHeight="1" x14ac:dyDescent="0.35">
      <c r="A38" s="195">
        <v>29</v>
      </c>
      <c r="B38" s="575"/>
      <c r="C38" s="548"/>
      <c r="D38" s="1266" t="s">
        <v>808</v>
      </c>
      <c r="E38" s="238"/>
      <c r="F38" s="238"/>
      <c r="G38" s="576"/>
      <c r="H38" s="240"/>
      <c r="I38" s="1270"/>
      <c r="J38" s="1270"/>
      <c r="K38" s="1270">
        <v>566</v>
      </c>
      <c r="L38" s="1270"/>
      <c r="M38" s="1270"/>
      <c r="N38" s="1271"/>
      <c r="O38" s="576"/>
      <c r="P38" s="1275">
        <f>SUM(I38:N38)</f>
        <v>566</v>
      </c>
      <c r="Q38" s="1246"/>
      <c r="R38" s="119"/>
      <c r="S38" s="119"/>
      <c r="T38" s="119"/>
      <c r="U38" s="119"/>
      <c r="V38" s="119"/>
      <c r="W38" s="119"/>
      <c r="X38" s="119"/>
      <c r="Y38" s="119"/>
      <c r="Z38" s="119"/>
      <c r="AA38" s="119"/>
      <c r="AB38" s="119"/>
      <c r="AC38" s="119"/>
      <c r="AD38" s="119"/>
      <c r="AE38" s="119"/>
      <c r="AF38" s="119"/>
      <c r="AG38" s="119"/>
      <c r="AH38" s="119"/>
      <c r="AI38" s="119"/>
      <c r="AJ38" s="119"/>
      <c r="AK38" s="119"/>
      <c r="AL38" s="119"/>
      <c r="AM38" s="119"/>
      <c r="AN38" s="119"/>
      <c r="AO38" s="119"/>
      <c r="AP38" s="119"/>
      <c r="AQ38" s="119"/>
      <c r="AR38" s="119"/>
      <c r="AS38" s="119"/>
      <c r="AT38" s="119"/>
      <c r="AU38" s="119"/>
      <c r="AV38" s="119"/>
      <c r="AW38" s="119"/>
      <c r="AX38" s="119"/>
      <c r="AY38" s="119"/>
      <c r="AZ38" s="119"/>
      <c r="BA38" s="119"/>
      <c r="BB38" s="119"/>
      <c r="BC38" s="119"/>
      <c r="BD38" s="119"/>
      <c r="BE38" s="119"/>
      <c r="BF38" s="119"/>
      <c r="BG38" s="119"/>
      <c r="BH38" s="119"/>
      <c r="BI38" s="119"/>
      <c r="BJ38" s="119"/>
      <c r="BK38" s="119"/>
      <c r="BL38" s="119"/>
      <c r="BM38" s="119"/>
      <c r="BN38" s="119"/>
      <c r="BO38" s="119"/>
      <c r="BP38" s="119"/>
      <c r="BQ38" s="119"/>
      <c r="BR38" s="119"/>
      <c r="BS38" s="119"/>
      <c r="BT38" s="119"/>
      <c r="BU38" s="119"/>
      <c r="BV38" s="119"/>
      <c r="BW38" s="119"/>
      <c r="BX38" s="119"/>
      <c r="BY38" s="119"/>
      <c r="BZ38" s="119"/>
      <c r="CA38" s="119"/>
      <c r="CB38" s="119"/>
      <c r="CC38" s="119"/>
      <c r="CD38" s="119"/>
      <c r="CE38" s="119"/>
      <c r="CF38" s="119"/>
      <c r="CG38" s="119"/>
      <c r="CH38" s="119"/>
      <c r="CI38" s="119"/>
      <c r="CJ38" s="119"/>
      <c r="CK38" s="119"/>
      <c r="CL38" s="119"/>
      <c r="CM38" s="119"/>
      <c r="CN38" s="119"/>
      <c r="CO38" s="119"/>
      <c r="CP38" s="119"/>
      <c r="CQ38" s="119"/>
      <c r="CR38" s="119"/>
      <c r="CS38" s="119"/>
      <c r="CT38" s="119"/>
      <c r="CU38" s="119"/>
      <c r="CV38" s="119"/>
      <c r="CW38" s="119"/>
      <c r="CX38" s="119"/>
      <c r="CY38" s="119"/>
      <c r="CZ38" s="119"/>
      <c r="DA38" s="119"/>
      <c r="DB38" s="119"/>
      <c r="DC38" s="119"/>
      <c r="DD38" s="119"/>
      <c r="DE38" s="119"/>
      <c r="DF38" s="119"/>
      <c r="DG38" s="119"/>
      <c r="DH38" s="119"/>
      <c r="DI38" s="119"/>
      <c r="DJ38" s="119"/>
      <c r="DK38" s="119"/>
      <c r="DL38" s="119"/>
      <c r="DM38" s="119"/>
      <c r="DN38" s="119"/>
      <c r="DO38" s="119"/>
      <c r="DP38" s="119"/>
      <c r="DQ38" s="119"/>
      <c r="DR38" s="119"/>
      <c r="DS38" s="119"/>
      <c r="DT38" s="119"/>
      <c r="DU38" s="119"/>
      <c r="DV38" s="119"/>
      <c r="DW38" s="119"/>
      <c r="DX38" s="119"/>
      <c r="DY38" s="119"/>
      <c r="DZ38" s="119"/>
      <c r="EA38" s="119"/>
      <c r="EB38" s="119"/>
      <c r="EC38" s="119"/>
      <c r="ED38" s="119"/>
      <c r="EE38" s="119"/>
      <c r="EF38" s="119"/>
      <c r="EG38" s="119"/>
      <c r="EH38" s="119"/>
      <c r="EI38" s="119"/>
      <c r="EJ38" s="119"/>
      <c r="EK38" s="119"/>
      <c r="EL38" s="119"/>
      <c r="EM38" s="119"/>
      <c r="EN38" s="119"/>
      <c r="EO38" s="119"/>
      <c r="EP38" s="119"/>
      <c r="EQ38" s="119"/>
      <c r="ER38" s="119"/>
      <c r="ES38" s="119"/>
      <c r="ET38" s="119"/>
      <c r="EU38" s="119"/>
      <c r="EV38" s="119"/>
      <c r="EW38" s="119"/>
      <c r="EX38" s="119"/>
      <c r="EY38" s="119"/>
      <c r="EZ38" s="119"/>
      <c r="FA38" s="119"/>
      <c r="FB38" s="119"/>
      <c r="FC38" s="119"/>
      <c r="FD38" s="119"/>
      <c r="FE38" s="119"/>
      <c r="FF38" s="119"/>
      <c r="FG38" s="119"/>
      <c r="FH38" s="119"/>
      <c r="FI38" s="119"/>
      <c r="FJ38" s="119"/>
      <c r="FK38" s="119"/>
      <c r="FL38" s="119"/>
      <c r="FM38" s="119"/>
      <c r="FN38" s="119"/>
      <c r="FO38" s="119"/>
      <c r="FP38" s="119"/>
      <c r="FQ38" s="119"/>
      <c r="FR38" s="119"/>
      <c r="FS38" s="119"/>
      <c r="FT38" s="119"/>
      <c r="FU38" s="119"/>
      <c r="FV38" s="119"/>
      <c r="FW38" s="119"/>
      <c r="FX38" s="119"/>
      <c r="FY38" s="119"/>
      <c r="FZ38" s="119"/>
      <c r="GA38" s="119"/>
      <c r="GB38" s="119"/>
      <c r="GC38" s="119"/>
      <c r="GD38" s="119"/>
      <c r="GE38" s="119"/>
      <c r="GF38" s="119"/>
      <c r="GG38" s="119"/>
      <c r="GH38" s="119"/>
      <c r="GI38" s="119"/>
      <c r="GJ38" s="119"/>
      <c r="GK38" s="119"/>
      <c r="GL38" s="119"/>
      <c r="GM38" s="119"/>
      <c r="GN38" s="119"/>
      <c r="GO38" s="119"/>
      <c r="GP38" s="119"/>
      <c r="GQ38" s="119"/>
      <c r="GR38" s="119"/>
      <c r="GS38" s="119"/>
      <c r="GT38" s="119"/>
      <c r="GU38" s="119"/>
      <c r="GV38" s="119"/>
      <c r="GW38" s="119"/>
      <c r="GX38" s="119"/>
      <c r="GY38" s="119"/>
      <c r="GZ38" s="119"/>
      <c r="HA38" s="119"/>
      <c r="HB38" s="119"/>
      <c r="HC38" s="119"/>
      <c r="HD38" s="119"/>
      <c r="HE38" s="119"/>
      <c r="HF38" s="119"/>
      <c r="HG38" s="119"/>
      <c r="HH38" s="119"/>
      <c r="HI38" s="119"/>
      <c r="HJ38" s="119"/>
      <c r="HK38" s="119"/>
      <c r="HL38" s="119"/>
      <c r="HM38" s="119"/>
      <c r="HN38" s="119"/>
      <c r="HO38" s="119"/>
      <c r="HP38" s="119"/>
      <c r="HQ38" s="119"/>
      <c r="HR38" s="119"/>
      <c r="HS38" s="119"/>
      <c r="HT38" s="119"/>
      <c r="HU38" s="119"/>
      <c r="HV38" s="119"/>
      <c r="HW38" s="119"/>
      <c r="HX38" s="119"/>
      <c r="HY38" s="119"/>
      <c r="HZ38" s="119"/>
      <c r="IA38" s="119"/>
      <c r="IB38" s="119"/>
      <c r="IC38" s="119"/>
      <c r="ID38" s="119"/>
      <c r="IE38" s="119"/>
      <c r="IF38" s="119"/>
      <c r="IG38" s="119"/>
      <c r="IH38" s="119"/>
      <c r="II38" s="119"/>
      <c r="IJ38" s="119"/>
      <c r="IK38" s="119"/>
      <c r="IL38" s="119"/>
      <c r="IM38" s="119"/>
      <c r="IN38" s="119"/>
      <c r="IO38" s="119"/>
      <c r="IP38" s="119"/>
      <c r="IQ38" s="119"/>
      <c r="IR38" s="119"/>
      <c r="IS38" s="119"/>
      <c r="IT38" s="119"/>
      <c r="IU38" s="119"/>
      <c r="IV38" s="119"/>
      <c r="IW38" s="119"/>
    </row>
    <row r="39" spans="1:257" s="187" customFormat="1" ht="18" customHeight="1" x14ac:dyDescent="0.35">
      <c r="A39" s="195">
        <v>30</v>
      </c>
      <c r="B39" s="575"/>
      <c r="C39" s="548"/>
      <c r="D39" s="1265" t="s">
        <v>900</v>
      </c>
      <c r="E39" s="238"/>
      <c r="F39" s="238"/>
      <c r="G39" s="576"/>
      <c r="H39" s="240"/>
      <c r="I39" s="1273">
        <v>15</v>
      </c>
      <c r="J39" s="1273">
        <v>5</v>
      </c>
      <c r="K39" s="1273">
        <f>-15-5</f>
        <v>-20</v>
      </c>
      <c r="L39" s="1273"/>
      <c r="M39" s="1273"/>
      <c r="N39" s="1273"/>
      <c r="O39" s="1781"/>
      <c r="P39" s="1276">
        <f t="shared" ref="P39:P40" si="9">SUM(I39:N39)</f>
        <v>0</v>
      </c>
      <c r="Q39" s="1246"/>
      <c r="R39" s="119"/>
      <c r="S39" s="119"/>
      <c r="T39" s="119"/>
      <c r="U39" s="119"/>
      <c r="V39" s="119"/>
      <c r="W39" s="119"/>
      <c r="X39" s="119"/>
      <c r="Y39" s="119"/>
      <c r="Z39" s="119"/>
      <c r="AA39" s="119"/>
      <c r="AB39" s="119"/>
      <c r="AC39" s="119"/>
      <c r="AD39" s="119"/>
      <c r="AE39" s="119"/>
      <c r="AF39" s="119"/>
      <c r="AG39" s="119"/>
      <c r="AH39" s="119"/>
      <c r="AI39" s="119"/>
      <c r="AJ39" s="119"/>
      <c r="AK39" s="119"/>
      <c r="AL39" s="119"/>
      <c r="AM39" s="119"/>
      <c r="AN39" s="119"/>
      <c r="AO39" s="119"/>
      <c r="AP39" s="119"/>
      <c r="AQ39" s="119"/>
      <c r="AR39" s="119"/>
      <c r="AS39" s="119"/>
      <c r="AT39" s="119"/>
      <c r="AU39" s="119"/>
      <c r="AV39" s="119"/>
      <c r="AW39" s="119"/>
      <c r="AX39" s="119"/>
      <c r="AY39" s="119"/>
      <c r="AZ39" s="119"/>
      <c r="BA39" s="119"/>
      <c r="BB39" s="119"/>
      <c r="BC39" s="119"/>
      <c r="BD39" s="119"/>
      <c r="BE39" s="119"/>
      <c r="BF39" s="119"/>
      <c r="BG39" s="119"/>
      <c r="BH39" s="119"/>
      <c r="BI39" s="119"/>
      <c r="BJ39" s="119"/>
      <c r="BK39" s="119"/>
      <c r="BL39" s="119"/>
      <c r="BM39" s="119"/>
      <c r="BN39" s="119"/>
      <c r="BO39" s="119"/>
      <c r="BP39" s="119"/>
      <c r="BQ39" s="119"/>
      <c r="BR39" s="119"/>
      <c r="BS39" s="119"/>
      <c r="BT39" s="119"/>
      <c r="BU39" s="119"/>
      <c r="BV39" s="119"/>
      <c r="BW39" s="119"/>
      <c r="BX39" s="119"/>
      <c r="BY39" s="119"/>
      <c r="BZ39" s="119"/>
      <c r="CA39" s="119"/>
      <c r="CB39" s="119"/>
      <c r="CC39" s="119"/>
      <c r="CD39" s="119"/>
      <c r="CE39" s="119"/>
      <c r="CF39" s="119"/>
      <c r="CG39" s="119"/>
      <c r="CH39" s="119"/>
      <c r="CI39" s="119"/>
      <c r="CJ39" s="119"/>
      <c r="CK39" s="119"/>
      <c r="CL39" s="119"/>
      <c r="CM39" s="119"/>
      <c r="CN39" s="119"/>
      <c r="CO39" s="119"/>
      <c r="CP39" s="119"/>
      <c r="CQ39" s="119"/>
      <c r="CR39" s="119"/>
      <c r="CS39" s="119"/>
      <c r="CT39" s="119"/>
      <c r="CU39" s="119"/>
      <c r="CV39" s="119"/>
      <c r="CW39" s="119"/>
      <c r="CX39" s="119"/>
      <c r="CY39" s="119"/>
      <c r="CZ39" s="119"/>
      <c r="DA39" s="119"/>
      <c r="DB39" s="119"/>
      <c r="DC39" s="119"/>
      <c r="DD39" s="119"/>
      <c r="DE39" s="119"/>
      <c r="DF39" s="119"/>
      <c r="DG39" s="119"/>
      <c r="DH39" s="119"/>
      <c r="DI39" s="119"/>
      <c r="DJ39" s="119"/>
      <c r="DK39" s="119"/>
      <c r="DL39" s="119"/>
      <c r="DM39" s="119"/>
      <c r="DN39" s="119"/>
      <c r="DO39" s="119"/>
      <c r="DP39" s="119"/>
      <c r="DQ39" s="119"/>
      <c r="DR39" s="119"/>
      <c r="DS39" s="119"/>
      <c r="DT39" s="119"/>
      <c r="DU39" s="119"/>
      <c r="DV39" s="119"/>
      <c r="DW39" s="119"/>
      <c r="DX39" s="119"/>
      <c r="DY39" s="119"/>
      <c r="DZ39" s="119"/>
      <c r="EA39" s="119"/>
      <c r="EB39" s="119"/>
      <c r="EC39" s="119"/>
      <c r="ED39" s="119"/>
      <c r="EE39" s="119"/>
      <c r="EF39" s="119"/>
      <c r="EG39" s="119"/>
      <c r="EH39" s="119"/>
      <c r="EI39" s="119"/>
      <c r="EJ39" s="119"/>
      <c r="EK39" s="119"/>
      <c r="EL39" s="119"/>
      <c r="EM39" s="119"/>
      <c r="EN39" s="119"/>
      <c r="EO39" s="119"/>
      <c r="EP39" s="119"/>
      <c r="EQ39" s="119"/>
      <c r="ER39" s="119"/>
      <c r="ES39" s="119"/>
      <c r="ET39" s="119"/>
      <c r="EU39" s="119"/>
      <c r="EV39" s="119"/>
      <c r="EW39" s="119"/>
      <c r="EX39" s="119"/>
      <c r="EY39" s="119"/>
      <c r="EZ39" s="119"/>
      <c r="FA39" s="119"/>
      <c r="FB39" s="119"/>
      <c r="FC39" s="119"/>
      <c r="FD39" s="119"/>
      <c r="FE39" s="119"/>
      <c r="FF39" s="119"/>
      <c r="FG39" s="119"/>
      <c r="FH39" s="119"/>
      <c r="FI39" s="119"/>
      <c r="FJ39" s="119"/>
      <c r="FK39" s="119"/>
      <c r="FL39" s="119"/>
      <c r="FM39" s="119"/>
      <c r="FN39" s="119"/>
      <c r="FO39" s="119"/>
      <c r="FP39" s="119"/>
      <c r="FQ39" s="119"/>
      <c r="FR39" s="119"/>
      <c r="FS39" s="119"/>
      <c r="FT39" s="119"/>
      <c r="FU39" s="119"/>
      <c r="FV39" s="119"/>
      <c r="FW39" s="119"/>
      <c r="FX39" s="119"/>
      <c r="FY39" s="119"/>
      <c r="FZ39" s="119"/>
      <c r="GA39" s="119"/>
      <c r="GB39" s="119"/>
      <c r="GC39" s="119"/>
      <c r="GD39" s="119"/>
      <c r="GE39" s="119"/>
      <c r="GF39" s="119"/>
      <c r="GG39" s="119"/>
      <c r="GH39" s="119"/>
      <c r="GI39" s="119"/>
      <c r="GJ39" s="119"/>
      <c r="GK39" s="119"/>
      <c r="GL39" s="119"/>
      <c r="GM39" s="119"/>
      <c r="GN39" s="119"/>
      <c r="GO39" s="119"/>
      <c r="GP39" s="119"/>
      <c r="GQ39" s="119"/>
      <c r="GR39" s="119"/>
      <c r="GS39" s="119"/>
      <c r="GT39" s="119"/>
      <c r="GU39" s="119"/>
      <c r="GV39" s="119"/>
      <c r="GW39" s="119"/>
      <c r="GX39" s="119"/>
      <c r="GY39" s="119"/>
      <c r="GZ39" s="119"/>
      <c r="HA39" s="119"/>
      <c r="HB39" s="119"/>
      <c r="HC39" s="119"/>
      <c r="HD39" s="119"/>
      <c r="HE39" s="119"/>
      <c r="HF39" s="119"/>
      <c r="HG39" s="119"/>
      <c r="HH39" s="119"/>
      <c r="HI39" s="119"/>
      <c r="HJ39" s="119"/>
      <c r="HK39" s="119"/>
      <c r="HL39" s="119"/>
      <c r="HM39" s="119"/>
      <c r="HN39" s="119"/>
      <c r="HO39" s="119"/>
      <c r="HP39" s="119"/>
      <c r="HQ39" s="119"/>
      <c r="HR39" s="119"/>
      <c r="HS39" s="119"/>
      <c r="HT39" s="119"/>
      <c r="HU39" s="119"/>
      <c r="HV39" s="119"/>
      <c r="HW39" s="119"/>
      <c r="HX39" s="119"/>
      <c r="HY39" s="119"/>
      <c r="HZ39" s="119"/>
      <c r="IA39" s="119"/>
      <c r="IB39" s="119"/>
      <c r="IC39" s="119"/>
      <c r="ID39" s="119"/>
      <c r="IE39" s="119"/>
      <c r="IF39" s="119"/>
      <c r="IG39" s="119"/>
      <c r="IH39" s="119"/>
      <c r="II39" s="119"/>
      <c r="IJ39" s="119"/>
      <c r="IK39" s="119"/>
      <c r="IL39" s="119"/>
      <c r="IM39" s="119"/>
      <c r="IN39" s="119"/>
      <c r="IO39" s="119"/>
      <c r="IP39" s="119"/>
      <c r="IQ39" s="119"/>
      <c r="IR39" s="119"/>
      <c r="IS39" s="119"/>
      <c r="IT39" s="119"/>
      <c r="IU39" s="119"/>
      <c r="IV39" s="119"/>
      <c r="IW39" s="119"/>
    </row>
    <row r="40" spans="1:257" s="187" customFormat="1" ht="18" customHeight="1" x14ac:dyDescent="0.35">
      <c r="A40" s="195">
        <v>31</v>
      </c>
      <c r="B40" s="575"/>
      <c r="C40" s="548"/>
      <c r="D40" s="1266" t="s">
        <v>862</v>
      </c>
      <c r="E40" s="238"/>
      <c r="F40" s="238"/>
      <c r="G40" s="576"/>
      <c r="H40" s="240"/>
      <c r="I40" s="1270">
        <f t="shared" ref="I40:J40" si="10">SUM(I38:I39)</f>
        <v>15</v>
      </c>
      <c r="J40" s="1270">
        <f t="shared" si="10"/>
        <v>5</v>
      </c>
      <c r="K40" s="1270">
        <f>SUM(K38:K39)</f>
        <v>546</v>
      </c>
      <c r="L40" s="1270"/>
      <c r="M40" s="1270"/>
      <c r="N40" s="1271"/>
      <c r="O40" s="576"/>
      <c r="P40" s="1275">
        <f t="shared" si="9"/>
        <v>566</v>
      </c>
      <c r="Q40" s="1246"/>
      <c r="R40" s="119"/>
      <c r="S40" s="119"/>
      <c r="T40" s="119"/>
      <c r="U40" s="119"/>
      <c r="V40" s="119"/>
      <c r="W40" s="119"/>
      <c r="X40" s="119"/>
      <c r="Y40" s="119"/>
      <c r="Z40" s="119"/>
      <c r="AA40" s="119"/>
      <c r="AB40" s="119"/>
      <c r="AC40" s="119"/>
      <c r="AD40" s="119"/>
      <c r="AE40" s="119"/>
      <c r="AF40" s="119"/>
      <c r="AG40" s="119"/>
      <c r="AH40" s="119"/>
      <c r="AI40" s="119"/>
      <c r="AJ40" s="119"/>
      <c r="AK40" s="119"/>
      <c r="AL40" s="119"/>
      <c r="AM40" s="119"/>
      <c r="AN40" s="119"/>
      <c r="AO40" s="119"/>
      <c r="AP40" s="119"/>
      <c r="AQ40" s="119"/>
      <c r="AR40" s="119"/>
      <c r="AS40" s="119"/>
      <c r="AT40" s="119"/>
      <c r="AU40" s="119"/>
      <c r="AV40" s="119"/>
      <c r="AW40" s="119"/>
      <c r="AX40" s="119"/>
      <c r="AY40" s="119"/>
      <c r="AZ40" s="119"/>
      <c r="BA40" s="119"/>
      <c r="BB40" s="119"/>
      <c r="BC40" s="119"/>
      <c r="BD40" s="119"/>
      <c r="BE40" s="119"/>
      <c r="BF40" s="119"/>
      <c r="BG40" s="119"/>
      <c r="BH40" s="119"/>
      <c r="BI40" s="119"/>
      <c r="BJ40" s="119"/>
      <c r="BK40" s="119"/>
      <c r="BL40" s="119"/>
      <c r="BM40" s="119"/>
      <c r="BN40" s="119"/>
      <c r="BO40" s="119"/>
      <c r="BP40" s="119"/>
      <c r="BQ40" s="119"/>
      <c r="BR40" s="119"/>
      <c r="BS40" s="119"/>
      <c r="BT40" s="119"/>
      <c r="BU40" s="119"/>
      <c r="BV40" s="119"/>
      <c r="BW40" s="119"/>
      <c r="BX40" s="119"/>
      <c r="BY40" s="119"/>
      <c r="BZ40" s="119"/>
      <c r="CA40" s="119"/>
      <c r="CB40" s="119"/>
      <c r="CC40" s="119"/>
      <c r="CD40" s="119"/>
      <c r="CE40" s="119"/>
      <c r="CF40" s="119"/>
      <c r="CG40" s="119"/>
      <c r="CH40" s="119"/>
      <c r="CI40" s="119"/>
      <c r="CJ40" s="119"/>
      <c r="CK40" s="119"/>
      <c r="CL40" s="119"/>
      <c r="CM40" s="119"/>
      <c r="CN40" s="119"/>
      <c r="CO40" s="119"/>
      <c r="CP40" s="119"/>
      <c r="CQ40" s="119"/>
      <c r="CR40" s="119"/>
      <c r="CS40" s="119"/>
      <c r="CT40" s="119"/>
      <c r="CU40" s="119"/>
      <c r="CV40" s="119"/>
      <c r="CW40" s="119"/>
      <c r="CX40" s="119"/>
      <c r="CY40" s="119"/>
      <c r="CZ40" s="119"/>
      <c r="DA40" s="119"/>
      <c r="DB40" s="119"/>
      <c r="DC40" s="119"/>
      <c r="DD40" s="119"/>
      <c r="DE40" s="119"/>
      <c r="DF40" s="119"/>
      <c r="DG40" s="119"/>
      <c r="DH40" s="119"/>
      <c r="DI40" s="119"/>
      <c r="DJ40" s="119"/>
      <c r="DK40" s="119"/>
      <c r="DL40" s="119"/>
      <c r="DM40" s="119"/>
      <c r="DN40" s="119"/>
      <c r="DO40" s="119"/>
      <c r="DP40" s="119"/>
      <c r="DQ40" s="119"/>
      <c r="DR40" s="119"/>
      <c r="DS40" s="119"/>
      <c r="DT40" s="119"/>
      <c r="DU40" s="119"/>
      <c r="DV40" s="119"/>
      <c r="DW40" s="119"/>
      <c r="DX40" s="119"/>
      <c r="DY40" s="119"/>
      <c r="DZ40" s="119"/>
      <c r="EA40" s="119"/>
      <c r="EB40" s="119"/>
      <c r="EC40" s="119"/>
      <c r="ED40" s="119"/>
      <c r="EE40" s="119"/>
      <c r="EF40" s="119"/>
      <c r="EG40" s="119"/>
      <c r="EH40" s="119"/>
      <c r="EI40" s="119"/>
      <c r="EJ40" s="119"/>
      <c r="EK40" s="119"/>
      <c r="EL40" s="119"/>
      <c r="EM40" s="119"/>
      <c r="EN40" s="119"/>
      <c r="EO40" s="119"/>
      <c r="EP40" s="119"/>
      <c r="EQ40" s="119"/>
      <c r="ER40" s="119"/>
      <c r="ES40" s="119"/>
      <c r="ET40" s="119"/>
      <c r="EU40" s="119"/>
      <c r="EV40" s="119"/>
      <c r="EW40" s="119"/>
      <c r="EX40" s="119"/>
      <c r="EY40" s="119"/>
      <c r="EZ40" s="119"/>
      <c r="FA40" s="119"/>
      <c r="FB40" s="119"/>
      <c r="FC40" s="119"/>
      <c r="FD40" s="119"/>
      <c r="FE40" s="119"/>
      <c r="FF40" s="119"/>
      <c r="FG40" s="119"/>
      <c r="FH40" s="119"/>
      <c r="FI40" s="119"/>
      <c r="FJ40" s="119"/>
      <c r="FK40" s="119"/>
      <c r="FL40" s="119"/>
      <c r="FM40" s="119"/>
      <c r="FN40" s="119"/>
      <c r="FO40" s="119"/>
      <c r="FP40" s="119"/>
      <c r="FQ40" s="119"/>
      <c r="FR40" s="119"/>
      <c r="FS40" s="119"/>
      <c r="FT40" s="119"/>
      <c r="FU40" s="119"/>
      <c r="FV40" s="119"/>
      <c r="FW40" s="119"/>
      <c r="FX40" s="119"/>
      <c r="FY40" s="119"/>
      <c r="FZ40" s="119"/>
      <c r="GA40" s="119"/>
      <c r="GB40" s="119"/>
      <c r="GC40" s="119"/>
      <c r="GD40" s="119"/>
      <c r="GE40" s="119"/>
      <c r="GF40" s="119"/>
      <c r="GG40" s="119"/>
      <c r="GH40" s="119"/>
      <c r="GI40" s="119"/>
      <c r="GJ40" s="119"/>
      <c r="GK40" s="119"/>
      <c r="GL40" s="119"/>
      <c r="GM40" s="119"/>
      <c r="GN40" s="119"/>
      <c r="GO40" s="119"/>
      <c r="GP40" s="119"/>
      <c r="GQ40" s="119"/>
      <c r="GR40" s="119"/>
      <c r="GS40" s="119"/>
      <c r="GT40" s="119"/>
      <c r="GU40" s="119"/>
      <c r="GV40" s="119"/>
      <c r="GW40" s="119"/>
      <c r="GX40" s="119"/>
      <c r="GY40" s="119"/>
      <c r="GZ40" s="119"/>
      <c r="HA40" s="119"/>
      <c r="HB40" s="119"/>
      <c r="HC40" s="119"/>
      <c r="HD40" s="119"/>
      <c r="HE40" s="119"/>
      <c r="HF40" s="119"/>
      <c r="HG40" s="119"/>
      <c r="HH40" s="119"/>
      <c r="HI40" s="119"/>
      <c r="HJ40" s="119"/>
      <c r="HK40" s="119"/>
      <c r="HL40" s="119"/>
      <c r="HM40" s="119"/>
      <c r="HN40" s="119"/>
      <c r="HO40" s="119"/>
      <c r="HP40" s="119"/>
      <c r="HQ40" s="119"/>
      <c r="HR40" s="119"/>
      <c r="HS40" s="119"/>
      <c r="HT40" s="119"/>
      <c r="HU40" s="119"/>
      <c r="HV40" s="119"/>
      <c r="HW40" s="119"/>
      <c r="HX40" s="119"/>
      <c r="HY40" s="119"/>
      <c r="HZ40" s="119"/>
      <c r="IA40" s="119"/>
      <c r="IB40" s="119"/>
      <c r="IC40" s="119"/>
      <c r="ID40" s="119"/>
      <c r="IE40" s="119"/>
      <c r="IF40" s="119"/>
      <c r="IG40" s="119"/>
      <c r="IH40" s="119"/>
      <c r="II40" s="119"/>
      <c r="IJ40" s="119"/>
      <c r="IK40" s="119"/>
      <c r="IL40" s="119"/>
      <c r="IM40" s="119"/>
      <c r="IN40" s="119"/>
      <c r="IO40" s="119"/>
      <c r="IP40" s="119"/>
      <c r="IQ40" s="119"/>
      <c r="IR40" s="119"/>
      <c r="IS40" s="119"/>
      <c r="IT40" s="119"/>
      <c r="IU40" s="119"/>
      <c r="IV40" s="119"/>
      <c r="IW40" s="119"/>
    </row>
    <row r="41" spans="1:257" ht="33" customHeight="1" x14ac:dyDescent="0.35">
      <c r="A41" s="195">
        <v>32</v>
      </c>
      <c r="B41" s="575"/>
      <c r="C41" s="548">
        <v>23</v>
      </c>
      <c r="D41" s="688" t="s">
        <v>518</v>
      </c>
      <c r="E41" s="547">
        <f>F41+G41+P45+Q42</f>
        <v>227212</v>
      </c>
      <c r="F41" s="238"/>
      <c r="G41" s="576"/>
      <c r="H41" s="578" t="s">
        <v>24</v>
      </c>
      <c r="I41" s="549"/>
      <c r="J41" s="549"/>
      <c r="K41" s="549"/>
      <c r="L41" s="549"/>
      <c r="M41" s="549"/>
      <c r="N41" s="577"/>
      <c r="O41" s="1782"/>
      <c r="P41" s="236"/>
      <c r="Q41" s="235"/>
    </row>
    <row r="42" spans="1:257" ht="18" customHeight="1" x14ac:dyDescent="0.35">
      <c r="A42" s="195">
        <v>33</v>
      </c>
      <c r="B42" s="575"/>
      <c r="C42" s="548"/>
      <c r="D42" s="237" t="s">
        <v>245</v>
      </c>
      <c r="E42" s="238"/>
      <c r="F42" s="238"/>
      <c r="G42" s="576"/>
      <c r="H42" s="224"/>
      <c r="I42" s="275"/>
      <c r="J42" s="275"/>
      <c r="K42" s="275">
        <v>1800</v>
      </c>
      <c r="L42" s="275"/>
      <c r="M42" s="275">
        <v>225412</v>
      </c>
      <c r="N42" s="686"/>
      <c r="O42" s="1784"/>
      <c r="P42" s="217">
        <f>SUM(I42:N42)</f>
        <v>227212</v>
      </c>
      <c r="Q42" s="687"/>
    </row>
    <row r="43" spans="1:257" ht="18" customHeight="1" x14ac:dyDescent="0.35">
      <c r="A43" s="195">
        <v>34</v>
      </c>
      <c r="B43" s="575"/>
      <c r="C43" s="548"/>
      <c r="D43" s="1266" t="s">
        <v>808</v>
      </c>
      <c r="E43" s="238"/>
      <c r="F43" s="238"/>
      <c r="G43" s="576"/>
      <c r="H43" s="223"/>
      <c r="I43" s="682"/>
      <c r="J43" s="682"/>
      <c r="K43" s="1277">
        <v>1800</v>
      </c>
      <c r="L43" s="1277"/>
      <c r="M43" s="1277">
        <v>225412</v>
      </c>
      <c r="N43" s="1278"/>
      <c r="O43" s="1785"/>
      <c r="P43" s="1272">
        <f>SUM(I43:N43)</f>
        <v>227212</v>
      </c>
      <c r="Q43" s="1247"/>
    </row>
    <row r="44" spans="1:257" ht="18" customHeight="1" x14ac:dyDescent="0.35">
      <c r="A44" s="195">
        <v>35</v>
      </c>
      <c r="B44" s="575"/>
      <c r="C44" s="548"/>
      <c r="D44" s="1265" t="s">
        <v>656</v>
      </c>
      <c r="E44" s="238"/>
      <c r="F44" s="238"/>
      <c r="G44" s="576"/>
      <c r="H44" s="223"/>
      <c r="I44" s="1279"/>
      <c r="J44" s="1279"/>
      <c r="K44" s="1279"/>
      <c r="L44" s="1279"/>
      <c r="M44" s="1279"/>
      <c r="N44" s="1279"/>
      <c r="O44" s="1786"/>
      <c r="P44" s="1274">
        <f t="shared" ref="P44:P45" si="11">SUM(I44:N44)</f>
        <v>0</v>
      </c>
      <c r="Q44" s="1247"/>
    </row>
    <row r="45" spans="1:257" ht="18" customHeight="1" x14ac:dyDescent="0.35">
      <c r="A45" s="195">
        <v>36</v>
      </c>
      <c r="B45" s="575"/>
      <c r="C45" s="548"/>
      <c r="D45" s="1266" t="s">
        <v>862</v>
      </c>
      <c r="E45" s="238"/>
      <c r="F45" s="238"/>
      <c r="G45" s="576"/>
      <c r="H45" s="223"/>
      <c r="I45" s="1277"/>
      <c r="J45" s="1277"/>
      <c r="K45" s="1277">
        <f>SUM(K43:K44)</f>
        <v>1800</v>
      </c>
      <c r="L45" s="1277"/>
      <c r="M45" s="1277">
        <f t="shared" ref="M45" si="12">SUM(M43:M44)</f>
        <v>225412</v>
      </c>
      <c r="N45" s="1278"/>
      <c r="O45" s="1785"/>
      <c r="P45" s="1272">
        <f t="shared" si="11"/>
        <v>227212</v>
      </c>
      <c r="Q45" s="1247"/>
    </row>
    <row r="46" spans="1:257" ht="22.5" customHeight="1" x14ac:dyDescent="0.35">
      <c r="A46" s="195">
        <v>37</v>
      </c>
      <c r="B46" s="173"/>
      <c r="C46" s="133">
        <v>24</v>
      </c>
      <c r="D46" s="194" t="s">
        <v>519</v>
      </c>
      <c r="E46" s="547">
        <f>F46+G46+P50+Q47</f>
        <v>5350</v>
      </c>
      <c r="F46" s="547"/>
      <c r="G46" s="552"/>
      <c r="H46" s="223" t="s">
        <v>24</v>
      </c>
      <c r="I46" s="682"/>
      <c r="J46" s="683"/>
      <c r="K46" s="683"/>
      <c r="L46" s="683"/>
      <c r="M46" s="683"/>
      <c r="N46" s="684"/>
      <c r="O46" s="1787"/>
      <c r="P46" s="685"/>
      <c r="Q46" s="188"/>
    </row>
    <row r="47" spans="1:257" ht="18" customHeight="1" x14ac:dyDescent="0.35">
      <c r="A47" s="195">
        <v>38</v>
      </c>
      <c r="B47" s="173"/>
      <c r="C47" s="133"/>
      <c r="D47" s="221" t="s">
        <v>245</v>
      </c>
      <c r="E47" s="127"/>
      <c r="F47" s="127"/>
      <c r="G47" s="128"/>
      <c r="H47" s="224"/>
      <c r="I47" s="559"/>
      <c r="J47" s="274"/>
      <c r="K47" s="219">
        <v>5801</v>
      </c>
      <c r="L47" s="219"/>
      <c r="M47" s="219"/>
      <c r="N47" s="228"/>
      <c r="O47" s="1780"/>
      <c r="P47" s="217">
        <f>SUM(I47:N47)</f>
        <v>5801</v>
      </c>
      <c r="Q47" s="189"/>
    </row>
    <row r="48" spans="1:257" ht="18" customHeight="1" x14ac:dyDescent="0.35">
      <c r="A48" s="195">
        <v>39</v>
      </c>
      <c r="B48" s="173"/>
      <c r="C48" s="133"/>
      <c r="D48" s="1266" t="s">
        <v>808</v>
      </c>
      <c r="E48" s="127"/>
      <c r="F48" s="127"/>
      <c r="G48" s="128"/>
      <c r="H48" s="224"/>
      <c r="I48" s="559"/>
      <c r="J48" s="274"/>
      <c r="K48" s="274">
        <v>5350</v>
      </c>
      <c r="L48" s="274"/>
      <c r="M48" s="274"/>
      <c r="N48" s="127"/>
      <c r="O48" s="128"/>
      <c r="P48" s="1272">
        <f>SUM(I48:N48)</f>
        <v>5350</v>
      </c>
      <c r="Q48" s="189"/>
    </row>
    <row r="49" spans="1:257" ht="18" customHeight="1" x14ac:dyDescent="0.35">
      <c r="A49" s="195">
        <v>40</v>
      </c>
      <c r="B49" s="173"/>
      <c r="C49" s="133"/>
      <c r="D49" s="1265" t="s">
        <v>656</v>
      </c>
      <c r="E49" s="127"/>
      <c r="F49" s="127"/>
      <c r="G49" s="128"/>
      <c r="H49" s="224"/>
      <c r="I49" s="559"/>
      <c r="J49" s="274"/>
      <c r="K49" s="1283"/>
      <c r="L49" s="219"/>
      <c r="M49" s="219"/>
      <c r="N49" s="228"/>
      <c r="O49" s="1780"/>
      <c r="P49" s="1274">
        <f t="shared" ref="P49:P50" si="13">SUM(I49:N49)</f>
        <v>0</v>
      </c>
      <c r="Q49" s="189"/>
    </row>
    <row r="50" spans="1:257" ht="18" customHeight="1" x14ac:dyDescent="0.35">
      <c r="A50" s="195">
        <v>41</v>
      </c>
      <c r="B50" s="173"/>
      <c r="C50" s="133"/>
      <c r="D50" s="1266" t="s">
        <v>862</v>
      </c>
      <c r="E50" s="127"/>
      <c r="F50" s="127"/>
      <c r="G50" s="128"/>
      <c r="H50" s="224"/>
      <c r="I50" s="559"/>
      <c r="J50" s="274"/>
      <c r="K50" s="274">
        <f>SUM(K48:K49)</f>
        <v>5350</v>
      </c>
      <c r="L50" s="219"/>
      <c r="M50" s="219"/>
      <c r="N50" s="228"/>
      <c r="O50" s="1780"/>
      <c r="P50" s="1272">
        <f t="shared" si="13"/>
        <v>5350</v>
      </c>
      <c r="Q50" s="189"/>
    </row>
    <row r="51" spans="1:257" ht="22.5" customHeight="1" x14ac:dyDescent="0.35">
      <c r="A51" s="195">
        <v>42</v>
      </c>
      <c r="B51" s="173"/>
      <c r="C51" s="133">
        <v>25</v>
      </c>
      <c r="D51" s="194" t="s">
        <v>520</v>
      </c>
      <c r="E51" s="547">
        <f>F51+G51+P55+Q52+4000</f>
        <v>72000</v>
      </c>
      <c r="F51" s="547"/>
      <c r="G51" s="552"/>
      <c r="H51" s="224" t="s">
        <v>24</v>
      </c>
      <c r="I51" s="275"/>
      <c r="J51" s="219"/>
      <c r="K51" s="219"/>
      <c r="L51" s="219"/>
      <c r="M51" s="219"/>
      <c r="N51" s="228"/>
      <c r="O51" s="1780"/>
      <c r="P51" s="232"/>
      <c r="Q51" s="189"/>
    </row>
    <row r="52" spans="1:257" ht="18" customHeight="1" x14ac:dyDescent="0.35">
      <c r="A52" s="195">
        <v>43</v>
      </c>
      <c r="B52" s="173"/>
      <c r="C52" s="133"/>
      <c r="D52" s="221" t="s">
        <v>245</v>
      </c>
      <c r="E52" s="127"/>
      <c r="F52" s="127"/>
      <c r="G52" s="128"/>
      <c r="H52" s="224"/>
      <c r="I52" s="275"/>
      <c r="J52" s="219"/>
      <c r="K52" s="219">
        <v>21600</v>
      </c>
      <c r="L52" s="219"/>
      <c r="M52" s="219"/>
      <c r="N52" s="219"/>
      <c r="O52" s="1788"/>
      <c r="P52" s="217">
        <f>SUM(I52:N52)</f>
        <v>21600</v>
      </c>
      <c r="Q52" s="580">
        <v>50400</v>
      </c>
    </row>
    <row r="53" spans="1:257" ht="18" customHeight="1" x14ac:dyDescent="0.35">
      <c r="A53" s="195">
        <v>44</v>
      </c>
      <c r="B53" s="173"/>
      <c r="C53" s="133"/>
      <c r="D53" s="1266" t="s">
        <v>808</v>
      </c>
      <c r="E53" s="127"/>
      <c r="F53" s="127"/>
      <c r="G53" s="128"/>
      <c r="H53" s="224"/>
      <c r="I53" s="275"/>
      <c r="J53" s="219"/>
      <c r="K53" s="274">
        <v>21600</v>
      </c>
      <c r="L53" s="274"/>
      <c r="M53" s="274"/>
      <c r="N53" s="274"/>
      <c r="O53" s="1789"/>
      <c r="P53" s="1272">
        <f>SUM(I53:N53)</f>
        <v>21600</v>
      </c>
      <c r="Q53" s="694"/>
    </row>
    <row r="54" spans="1:257" ht="18" customHeight="1" x14ac:dyDescent="0.35">
      <c r="A54" s="195">
        <v>45</v>
      </c>
      <c r="B54" s="173"/>
      <c r="C54" s="133"/>
      <c r="D54" s="1265" t="s">
        <v>900</v>
      </c>
      <c r="E54" s="127"/>
      <c r="F54" s="127"/>
      <c r="G54" s="128"/>
      <c r="H54" s="224"/>
      <c r="I54" s="1282"/>
      <c r="J54" s="1283"/>
      <c r="K54" s="1283">
        <v>-4000</v>
      </c>
      <c r="L54" s="1283"/>
      <c r="M54" s="1283"/>
      <c r="N54" s="1283"/>
      <c r="O54" s="1790"/>
      <c r="P54" s="1274">
        <f t="shared" ref="P54:P55" si="14">SUM(I54:N54)</f>
        <v>-4000</v>
      </c>
      <c r="Q54" s="694"/>
    </row>
    <row r="55" spans="1:257" ht="18" customHeight="1" x14ac:dyDescent="0.35">
      <c r="A55" s="195">
        <v>46</v>
      </c>
      <c r="B55" s="173"/>
      <c r="C55" s="133"/>
      <c r="D55" s="1266" t="s">
        <v>862</v>
      </c>
      <c r="E55" s="127"/>
      <c r="F55" s="127"/>
      <c r="G55" s="128"/>
      <c r="H55" s="224"/>
      <c r="I55" s="559"/>
      <c r="J55" s="274"/>
      <c r="K55" s="274">
        <f>SUM(K53:K54)</f>
        <v>17600</v>
      </c>
      <c r="L55" s="274"/>
      <c r="M55" s="274"/>
      <c r="N55" s="274"/>
      <c r="O55" s="1789"/>
      <c r="P55" s="1272">
        <f t="shared" si="14"/>
        <v>17600</v>
      </c>
      <c r="Q55" s="694"/>
    </row>
    <row r="56" spans="1:257" ht="22.5" customHeight="1" x14ac:dyDescent="0.35">
      <c r="A56" s="195">
        <v>47</v>
      </c>
      <c r="B56" s="173"/>
      <c r="C56" s="133">
        <v>26</v>
      </c>
      <c r="D56" s="872" t="s">
        <v>521</v>
      </c>
      <c r="E56" s="547">
        <f>F56+G56+P60+Q57</f>
        <v>0</v>
      </c>
      <c r="F56" s="547"/>
      <c r="G56" s="552"/>
      <c r="H56" s="233" t="s">
        <v>24</v>
      </c>
      <c r="I56" s="275"/>
      <c r="J56" s="219"/>
      <c r="K56" s="219"/>
      <c r="L56" s="219"/>
      <c r="M56" s="219"/>
      <c r="N56" s="228"/>
      <c r="O56" s="1780"/>
      <c r="P56" s="232"/>
      <c r="Q56" s="189"/>
    </row>
    <row r="57" spans="1:257" s="187" customFormat="1" ht="18" customHeight="1" x14ac:dyDescent="0.35">
      <c r="A57" s="195">
        <v>48</v>
      </c>
      <c r="B57" s="273"/>
      <c r="C57" s="548"/>
      <c r="D57" s="237" t="s">
        <v>245</v>
      </c>
      <c r="E57" s="238"/>
      <c r="F57" s="238"/>
      <c r="G57" s="239"/>
      <c r="H57" s="240"/>
      <c r="I57" s="549"/>
      <c r="J57" s="550"/>
      <c r="K57" s="550"/>
      <c r="L57" s="550"/>
      <c r="M57" s="550">
        <v>19696</v>
      </c>
      <c r="N57" s="551"/>
      <c r="O57" s="1791"/>
      <c r="P57" s="236">
        <f>SUM(I57:N57)</f>
        <v>19696</v>
      </c>
      <c r="Q57" s="580">
        <f>1162050-1162050</f>
        <v>0</v>
      </c>
      <c r="R57" s="119"/>
      <c r="S57" s="119"/>
      <c r="T57" s="119"/>
      <c r="U57" s="119"/>
      <c r="V57" s="119"/>
      <c r="W57" s="119"/>
      <c r="X57" s="119"/>
      <c r="Y57" s="119"/>
      <c r="Z57" s="119"/>
      <c r="AA57" s="119"/>
      <c r="AB57" s="119"/>
      <c r="AC57" s="119"/>
      <c r="AD57" s="119"/>
      <c r="AE57" s="119"/>
      <c r="AF57" s="119"/>
      <c r="AG57" s="119"/>
      <c r="AH57" s="119"/>
      <c r="AI57" s="119"/>
      <c r="AJ57" s="119"/>
      <c r="AK57" s="119"/>
      <c r="AL57" s="119"/>
      <c r="AM57" s="119"/>
      <c r="AN57" s="119"/>
      <c r="AO57" s="119"/>
      <c r="AP57" s="119"/>
      <c r="AQ57" s="119"/>
      <c r="AR57" s="119"/>
      <c r="AS57" s="119"/>
      <c r="AT57" s="119"/>
      <c r="AU57" s="119"/>
      <c r="AV57" s="119"/>
      <c r="AW57" s="119"/>
      <c r="AX57" s="119"/>
      <c r="AY57" s="119"/>
      <c r="AZ57" s="119"/>
      <c r="BA57" s="119"/>
      <c r="BB57" s="119"/>
      <c r="BC57" s="119"/>
      <c r="BD57" s="119"/>
      <c r="BE57" s="119"/>
      <c r="BF57" s="119"/>
      <c r="BG57" s="119"/>
      <c r="BH57" s="119"/>
      <c r="BI57" s="119"/>
      <c r="BJ57" s="119"/>
      <c r="BK57" s="119"/>
      <c r="BL57" s="119"/>
      <c r="BM57" s="119"/>
      <c r="BN57" s="119"/>
      <c r="BO57" s="119"/>
      <c r="BP57" s="119"/>
      <c r="BQ57" s="119"/>
      <c r="BR57" s="119"/>
      <c r="BS57" s="119"/>
      <c r="BT57" s="119"/>
      <c r="BU57" s="119"/>
      <c r="BV57" s="119"/>
      <c r="BW57" s="119"/>
      <c r="BX57" s="119"/>
      <c r="BY57" s="119"/>
      <c r="BZ57" s="119"/>
      <c r="CA57" s="119"/>
      <c r="CB57" s="119"/>
      <c r="CC57" s="119"/>
      <c r="CD57" s="119"/>
      <c r="CE57" s="119"/>
      <c r="CF57" s="119"/>
      <c r="CG57" s="119"/>
      <c r="CH57" s="119"/>
      <c r="CI57" s="119"/>
      <c r="CJ57" s="119"/>
      <c r="CK57" s="119"/>
      <c r="CL57" s="119"/>
      <c r="CM57" s="119"/>
      <c r="CN57" s="119"/>
      <c r="CO57" s="119"/>
      <c r="CP57" s="119"/>
      <c r="CQ57" s="119"/>
      <c r="CR57" s="119"/>
      <c r="CS57" s="119"/>
      <c r="CT57" s="119"/>
      <c r="CU57" s="119"/>
      <c r="CV57" s="119"/>
      <c r="CW57" s="119"/>
      <c r="CX57" s="119"/>
      <c r="CY57" s="119"/>
      <c r="CZ57" s="119"/>
      <c r="DA57" s="119"/>
      <c r="DB57" s="119"/>
      <c r="DC57" s="119"/>
      <c r="DD57" s="119"/>
      <c r="DE57" s="119"/>
      <c r="DF57" s="119"/>
      <c r="DG57" s="119"/>
      <c r="DH57" s="119"/>
      <c r="DI57" s="119"/>
      <c r="DJ57" s="119"/>
      <c r="DK57" s="119"/>
      <c r="DL57" s="119"/>
      <c r="DM57" s="119"/>
      <c r="DN57" s="119"/>
      <c r="DO57" s="119"/>
      <c r="DP57" s="119"/>
      <c r="DQ57" s="119"/>
      <c r="DR57" s="119"/>
      <c r="DS57" s="119"/>
      <c r="DT57" s="119"/>
      <c r="DU57" s="119"/>
      <c r="DV57" s="119"/>
      <c r="DW57" s="119"/>
      <c r="DX57" s="119"/>
      <c r="DY57" s="119"/>
      <c r="DZ57" s="119"/>
      <c r="EA57" s="119"/>
      <c r="EB57" s="119"/>
      <c r="EC57" s="119"/>
      <c r="ED57" s="119"/>
      <c r="EE57" s="119"/>
      <c r="EF57" s="119"/>
      <c r="EG57" s="119"/>
      <c r="EH57" s="119"/>
      <c r="EI57" s="119"/>
      <c r="EJ57" s="119"/>
      <c r="EK57" s="119"/>
      <c r="EL57" s="119"/>
      <c r="EM57" s="119"/>
      <c r="EN57" s="119"/>
      <c r="EO57" s="119"/>
      <c r="EP57" s="119"/>
      <c r="EQ57" s="119"/>
      <c r="ER57" s="119"/>
      <c r="ES57" s="119"/>
      <c r="ET57" s="119"/>
      <c r="EU57" s="119"/>
      <c r="EV57" s="119"/>
      <c r="EW57" s="119"/>
      <c r="EX57" s="119"/>
      <c r="EY57" s="119"/>
      <c r="EZ57" s="119"/>
      <c r="FA57" s="119"/>
      <c r="FB57" s="119"/>
      <c r="FC57" s="119"/>
      <c r="FD57" s="119"/>
      <c r="FE57" s="119"/>
      <c r="FF57" s="119"/>
      <c r="FG57" s="119"/>
      <c r="FH57" s="119"/>
      <c r="FI57" s="119"/>
      <c r="FJ57" s="119"/>
      <c r="FK57" s="119"/>
      <c r="FL57" s="119"/>
      <c r="FM57" s="119"/>
      <c r="FN57" s="119"/>
      <c r="FO57" s="119"/>
      <c r="FP57" s="119"/>
      <c r="FQ57" s="119"/>
      <c r="FR57" s="119"/>
      <c r="FS57" s="119"/>
      <c r="FT57" s="119"/>
      <c r="FU57" s="119"/>
      <c r="FV57" s="119"/>
      <c r="FW57" s="119"/>
      <c r="FX57" s="119"/>
      <c r="FY57" s="119"/>
      <c r="FZ57" s="119"/>
      <c r="GA57" s="119"/>
      <c r="GB57" s="119"/>
      <c r="GC57" s="119"/>
      <c r="GD57" s="119"/>
      <c r="GE57" s="119"/>
      <c r="GF57" s="119"/>
      <c r="GG57" s="119"/>
      <c r="GH57" s="119"/>
      <c r="GI57" s="119"/>
      <c r="GJ57" s="119"/>
      <c r="GK57" s="119"/>
      <c r="GL57" s="119"/>
      <c r="GM57" s="119"/>
      <c r="GN57" s="119"/>
      <c r="GO57" s="119"/>
      <c r="GP57" s="119"/>
      <c r="GQ57" s="119"/>
      <c r="GR57" s="119"/>
      <c r="GS57" s="119"/>
      <c r="GT57" s="119"/>
      <c r="GU57" s="119"/>
      <c r="GV57" s="119"/>
      <c r="GW57" s="119"/>
      <c r="GX57" s="119"/>
      <c r="GY57" s="119"/>
      <c r="GZ57" s="119"/>
      <c r="HA57" s="119"/>
      <c r="HB57" s="119"/>
      <c r="HC57" s="119"/>
      <c r="HD57" s="119"/>
      <c r="HE57" s="119"/>
      <c r="HF57" s="119"/>
      <c r="HG57" s="119"/>
      <c r="HH57" s="119"/>
      <c r="HI57" s="119"/>
      <c r="HJ57" s="119"/>
      <c r="HK57" s="119"/>
      <c r="HL57" s="119"/>
      <c r="HM57" s="119"/>
      <c r="HN57" s="119"/>
      <c r="HO57" s="119"/>
      <c r="HP57" s="119"/>
      <c r="HQ57" s="119"/>
      <c r="HR57" s="119"/>
      <c r="HS57" s="119"/>
      <c r="HT57" s="119"/>
      <c r="HU57" s="119"/>
      <c r="HV57" s="119"/>
      <c r="HW57" s="119"/>
      <c r="HX57" s="119"/>
      <c r="HY57" s="119"/>
      <c r="HZ57" s="119"/>
      <c r="IA57" s="119"/>
      <c r="IB57" s="119"/>
      <c r="IC57" s="119"/>
      <c r="ID57" s="119"/>
      <c r="IE57" s="119"/>
      <c r="IF57" s="119"/>
      <c r="IG57" s="119"/>
      <c r="IH57" s="119"/>
      <c r="II57" s="119"/>
      <c r="IJ57" s="119"/>
      <c r="IK57" s="119"/>
      <c r="IL57" s="119"/>
      <c r="IM57" s="119"/>
      <c r="IN57" s="119"/>
      <c r="IO57" s="119"/>
      <c r="IP57" s="119"/>
      <c r="IQ57" s="119"/>
      <c r="IR57" s="119"/>
      <c r="IS57" s="119"/>
      <c r="IT57" s="119"/>
      <c r="IU57" s="119"/>
      <c r="IV57" s="119"/>
      <c r="IW57" s="119"/>
    </row>
    <row r="58" spans="1:257" s="187" customFormat="1" ht="18" customHeight="1" x14ac:dyDescent="0.35">
      <c r="A58" s="195">
        <v>49</v>
      </c>
      <c r="B58" s="575"/>
      <c r="C58" s="548"/>
      <c r="D58" s="1266" t="s">
        <v>808</v>
      </c>
      <c r="E58" s="238"/>
      <c r="F58" s="238"/>
      <c r="G58" s="576"/>
      <c r="H58" s="240"/>
      <c r="I58" s="549"/>
      <c r="J58" s="549"/>
      <c r="K58" s="549"/>
      <c r="L58" s="549"/>
      <c r="M58" s="1270">
        <v>0</v>
      </c>
      <c r="N58" s="1271"/>
      <c r="O58" s="576"/>
      <c r="P58" s="1275">
        <f>SUM(I58:N58)</f>
        <v>0</v>
      </c>
      <c r="Q58" s="1246"/>
      <c r="R58" s="119"/>
      <c r="S58" s="119"/>
      <c r="T58" s="119"/>
      <c r="U58" s="119"/>
      <c r="V58" s="119"/>
      <c r="W58" s="119"/>
      <c r="X58" s="119"/>
      <c r="Y58" s="119"/>
      <c r="Z58" s="119"/>
      <c r="AA58" s="119"/>
      <c r="AB58" s="119"/>
      <c r="AC58" s="119"/>
      <c r="AD58" s="119"/>
      <c r="AE58" s="119"/>
      <c r="AF58" s="119"/>
      <c r="AG58" s="119"/>
      <c r="AH58" s="119"/>
      <c r="AI58" s="119"/>
      <c r="AJ58" s="119"/>
      <c r="AK58" s="119"/>
      <c r="AL58" s="119"/>
      <c r="AM58" s="119"/>
      <c r="AN58" s="119"/>
      <c r="AO58" s="119"/>
      <c r="AP58" s="119"/>
      <c r="AQ58" s="119"/>
      <c r="AR58" s="119"/>
      <c r="AS58" s="119"/>
      <c r="AT58" s="119"/>
      <c r="AU58" s="119"/>
      <c r="AV58" s="119"/>
      <c r="AW58" s="119"/>
      <c r="AX58" s="119"/>
      <c r="AY58" s="119"/>
      <c r="AZ58" s="119"/>
      <c r="BA58" s="119"/>
      <c r="BB58" s="119"/>
      <c r="BC58" s="119"/>
      <c r="BD58" s="119"/>
      <c r="BE58" s="119"/>
      <c r="BF58" s="119"/>
      <c r="BG58" s="119"/>
      <c r="BH58" s="119"/>
      <c r="BI58" s="119"/>
      <c r="BJ58" s="119"/>
      <c r="BK58" s="119"/>
      <c r="BL58" s="119"/>
      <c r="BM58" s="119"/>
      <c r="BN58" s="119"/>
      <c r="BO58" s="119"/>
      <c r="BP58" s="119"/>
      <c r="BQ58" s="119"/>
      <c r="BR58" s="119"/>
      <c r="BS58" s="119"/>
      <c r="BT58" s="119"/>
      <c r="BU58" s="119"/>
      <c r="BV58" s="119"/>
      <c r="BW58" s="119"/>
      <c r="BX58" s="119"/>
      <c r="BY58" s="119"/>
      <c r="BZ58" s="119"/>
      <c r="CA58" s="119"/>
      <c r="CB58" s="119"/>
      <c r="CC58" s="119"/>
      <c r="CD58" s="119"/>
      <c r="CE58" s="119"/>
      <c r="CF58" s="119"/>
      <c r="CG58" s="119"/>
      <c r="CH58" s="119"/>
      <c r="CI58" s="119"/>
      <c r="CJ58" s="119"/>
      <c r="CK58" s="119"/>
      <c r="CL58" s="119"/>
      <c r="CM58" s="119"/>
      <c r="CN58" s="119"/>
      <c r="CO58" s="119"/>
      <c r="CP58" s="119"/>
      <c r="CQ58" s="119"/>
      <c r="CR58" s="119"/>
      <c r="CS58" s="119"/>
      <c r="CT58" s="119"/>
      <c r="CU58" s="119"/>
      <c r="CV58" s="119"/>
      <c r="CW58" s="119"/>
      <c r="CX58" s="119"/>
      <c r="CY58" s="119"/>
      <c r="CZ58" s="119"/>
      <c r="DA58" s="119"/>
      <c r="DB58" s="119"/>
      <c r="DC58" s="119"/>
      <c r="DD58" s="119"/>
      <c r="DE58" s="119"/>
      <c r="DF58" s="119"/>
      <c r="DG58" s="119"/>
      <c r="DH58" s="119"/>
      <c r="DI58" s="119"/>
      <c r="DJ58" s="119"/>
      <c r="DK58" s="119"/>
      <c r="DL58" s="119"/>
      <c r="DM58" s="119"/>
      <c r="DN58" s="119"/>
      <c r="DO58" s="119"/>
      <c r="DP58" s="119"/>
      <c r="DQ58" s="119"/>
      <c r="DR58" s="119"/>
      <c r="DS58" s="119"/>
      <c r="DT58" s="119"/>
      <c r="DU58" s="119"/>
      <c r="DV58" s="119"/>
      <c r="DW58" s="119"/>
      <c r="DX58" s="119"/>
      <c r="DY58" s="119"/>
      <c r="DZ58" s="119"/>
      <c r="EA58" s="119"/>
      <c r="EB58" s="119"/>
      <c r="EC58" s="119"/>
      <c r="ED58" s="119"/>
      <c r="EE58" s="119"/>
      <c r="EF58" s="119"/>
      <c r="EG58" s="119"/>
      <c r="EH58" s="119"/>
      <c r="EI58" s="119"/>
      <c r="EJ58" s="119"/>
      <c r="EK58" s="119"/>
      <c r="EL58" s="119"/>
      <c r="EM58" s="119"/>
      <c r="EN58" s="119"/>
      <c r="EO58" s="119"/>
      <c r="EP58" s="119"/>
      <c r="EQ58" s="119"/>
      <c r="ER58" s="119"/>
      <c r="ES58" s="119"/>
      <c r="ET58" s="119"/>
      <c r="EU58" s="119"/>
      <c r="EV58" s="119"/>
      <c r="EW58" s="119"/>
      <c r="EX58" s="119"/>
      <c r="EY58" s="119"/>
      <c r="EZ58" s="119"/>
      <c r="FA58" s="119"/>
      <c r="FB58" s="119"/>
      <c r="FC58" s="119"/>
      <c r="FD58" s="119"/>
      <c r="FE58" s="119"/>
      <c r="FF58" s="119"/>
      <c r="FG58" s="119"/>
      <c r="FH58" s="119"/>
      <c r="FI58" s="119"/>
      <c r="FJ58" s="119"/>
      <c r="FK58" s="119"/>
      <c r="FL58" s="119"/>
      <c r="FM58" s="119"/>
      <c r="FN58" s="119"/>
      <c r="FO58" s="119"/>
      <c r="FP58" s="119"/>
      <c r="FQ58" s="119"/>
      <c r="FR58" s="119"/>
      <c r="FS58" s="119"/>
      <c r="FT58" s="119"/>
      <c r="FU58" s="119"/>
      <c r="FV58" s="119"/>
      <c r="FW58" s="119"/>
      <c r="FX58" s="119"/>
      <c r="FY58" s="119"/>
      <c r="FZ58" s="119"/>
      <c r="GA58" s="119"/>
      <c r="GB58" s="119"/>
      <c r="GC58" s="119"/>
      <c r="GD58" s="119"/>
      <c r="GE58" s="119"/>
      <c r="GF58" s="119"/>
      <c r="GG58" s="119"/>
      <c r="GH58" s="119"/>
      <c r="GI58" s="119"/>
      <c r="GJ58" s="119"/>
      <c r="GK58" s="119"/>
      <c r="GL58" s="119"/>
      <c r="GM58" s="119"/>
      <c r="GN58" s="119"/>
      <c r="GO58" s="119"/>
      <c r="GP58" s="119"/>
      <c r="GQ58" s="119"/>
      <c r="GR58" s="119"/>
      <c r="GS58" s="119"/>
      <c r="GT58" s="119"/>
      <c r="GU58" s="119"/>
      <c r="GV58" s="119"/>
      <c r="GW58" s="119"/>
      <c r="GX58" s="119"/>
      <c r="GY58" s="119"/>
      <c r="GZ58" s="119"/>
      <c r="HA58" s="119"/>
      <c r="HB58" s="119"/>
      <c r="HC58" s="119"/>
      <c r="HD58" s="119"/>
      <c r="HE58" s="119"/>
      <c r="HF58" s="119"/>
      <c r="HG58" s="119"/>
      <c r="HH58" s="119"/>
      <c r="HI58" s="119"/>
      <c r="HJ58" s="119"/>
      <c r="HK58" s="119"/>
      <c r="HL58" s="119"/>
      <c r="HM58" s="119"/>
      <c r="HN58" s="119"/>
      <c r="HO58" s="119"/>
      <c r="HP58" s="119"/>
      <c r="HQ58" s="119"/>
      <c r="HR58" s="119"/>
      <c r="HS58" s="119"/>
      <c r="HT58" s="119"/>
      <c r="HU58" s="119"/>
      <c r="HV58" s="119"/>
      <c r="HW58" s="119"/>
      <c r="HX58" s="119"/>
      <c r="HY58" s="119"/>
      <c r="HZ58" s="119"/>
      <c r="IA58" s="119"/>
      <c r="IB58" s="119"/>
      <c r="IC58" s="119"/>
      <c r="ID58" s="119"/>
      <c r="IE58" s="119"/>
      <c r="IF58" s="119"/>
      <c r="IG58" s="119"/>
      <c r="IH58" s="119"/>
      <c r="II58" s="119"/>
      <c r="IJ58" s="119"/>
      <c r="IK58" s="119"/>
      <c r="IL58" s="119"/>
      <c r="IM58" s="119"/>
      <c r="IN58" s="119"/>
      <c r="IO58" s="119"/>
      <c r="IP58" s="119"/>
      <c r="IQ58" s="119"/>
      <c r="IR58" s="119"/>
      <c r="IS58" s="119"/>
      <c r="IT58" s="119"/>
      <c r="IU58" s="119"/>
      <c r="IV58" s="119"/>
      <c r="IW58" s="119"/>
    </row>
    <row r="59" spans="1:257" s="187" customFormat="1" ht="18" customHeight="1" x14ac:dyDescent="0.35">
      <c r="A59" s="195">
        <v>50</v>
      </c>
      <c r="B59" s="575"/>
      <c r="C59" s="548"/>
      <c r="D59" s="1265" t="s">
        <v>656</v>
      </c>
      <c r="E59" s="238"/>
      <c r="F59" s="238"/>
      <c r="G59" s="576"/>
      <c r="H59" s="240"/>
      <c r="I59" s="1273"/>
      <c r="J59" s="1273"/>
      <c r="K59" s="1273"/>
      <c r="L59" s="1273"/>
      <c r="M59" s="1273"/>
      <c r="N59" s="1273"/>
      <c r="O59" s="1781"/>
      <c r="P59" s="1276">
        <f>SUM(I59:N59)</f>
        <v>0</v>
      </c>
      <c r="Q59" s="1246"/>
      <c r="R59" s="119"/>
      <c r="S59" s="119"/>
      <c r="T59" s="119"/>
      <c r="U59" s="119"/>
      <c r="V59" s="119"/>
      <c r="W59" s="119"/>
      <c r="X59" s="119"/>
      <c r="Y59" s="119"/>
      <c r="Z59" s="119"/>
      <c r="AA59" s="119"/>
      <c r="AB59" s="119"/>
      <c r="AC59" s="119"/>
      <c r="AD59" s="119"/>
      <c r="AE59" s="119"/>
      <c r="AF59" s="119"/>
      <c r="AG59" s="119"/>
      <c r="AH59" s="119"/>
      <c r="AI59" s="119"/>
      <c r="AJ59" s="119"/>
      <c r="AK59" s="119"/>
      <c r="AL59" s="119"/>
      <c r="AM59" s="119"/>
      <c r="AN59" s="119"/>
      <c r="AO59" s="119"/>
      <c r="AP59" s="119"/>
      <c r="AQ59" s="119"/>
      <c r="AR59" s="119"/>
      <c r="AS59" s="119"/>
      <c r="AT59" s="119"/>
      <c r="AU59" s="119"/>
      <c r="AV59" s="119"/>
      <c r="AW59" s="119"/>
      <c r="AX59" s="119"/>
      <c r="AY59" s="119"/>
      <c r="AZ59" s="119"/>
      <c r="BA59" s="119"/>
      <c r="BB59" s="119"/>
      <c r="BC59" s="119"/>
      <c r="BD59" s="119"/>
      <c r="BE59" s="119"/>
      <c r="BF59" s="119"/>
      <c r="BG59" s="119"/>
      <c r="BH59" s="119"/>
      <c r="BI59" s="119"/>
      <c r="BJ59" s="119"/>
      <c r="BK59" s="119"/>
      <c r="BL59" s="119"/>
      <c r="BM59" s="119"/>
      <c r="BN59" s="119"/>
      <c r="BO59" s="119"/>
      <c r="BP59" s="119"/>
      <c r="BQ59" s="119"/>
      <c r="BR59" s="119"/>
      <c r="BS59" s="119"/>
      <c r="BT59" s="119"/>
      <c r="BU59" s="119"/>
      <c r="BV59" s="119"/>
      <c r="BW59" s="119"/>
      <c r="BX59" s="119"/>
      <c r="BY59" s="119"/>
      <c r="BZ59" s="119"/>
      <c r="CA59" s="119"/>
      <c r="CB59" s="119"/>
      <c r="CC59" s="119"/>
      <c r="CD59" s="119"/>
      <c r="CE59" s="119"/>
      <c r="CF59" s="119"/>
      <c r="CG59" s="119"/>
      <c r="CH59" s="119"/>
      <c r="CI59" s="119"/>
      <c r="CJ59" s="119"/>
      <c r="CK59" s="119"/>
      <c r="CL59" s="119"/>
      <c r="CM59" s="119"/>
      <c r="CN59" s="119"/>
      <c r="CO59" s="119"/>
      <c r="CP59" s="119"/>
      <c r="CQ59" s="119"/>
      <c r="CR59" s="119"/>
      <c r="CS59" s="119"/>
      <c r="CT59" s="119"/>
      <c r="CU59" s="119"/>
      <c r="CV59" s="119"/>
      <c r="CW59" s="119"/>
      <c r="CX59" s="119"/>
      <c r="CY59" s="119"/>
      <c r="CZ59" s="119"/>
      <c r="DA59" s="119"/>
      <c r="DB59" s="119"/>
      <c r="DC59" s="119"/>
      <c r="DD59" s="119"/>
      <c r="DE59" s="119"/>
      <c r="DF59" s="119"/>
      <c r="DG59" s="119"/>
      <c r="DH59" s="119"/>
      <c r="DI59" s="119"/>
      <c r="DJ59" s="119"/>
      <c r="DK59" s="119"/>
      <c r="DL59" s="119"/>
      <c r="DM59" s="119"/>
      <c r="DN59" s="119"/>
      <c r="DO59" s="119"/>
      <c r="DP59" s="119"/>
      <c r="DQ59" s="119"/>
      <c r="DR59" s="119"/>
      <c r="DS59" s="119"/>
      <c r="DT59" s="119"/>
      <c r="DU59" s="119"/>
      <c r="DV59" s="119"/>
      <c r="DW59" s="119"/>
      <c r="DX59" s="119"/>
      <c r="DY59" s="119"/>
      <c r="DZ59" s="119"/>
      <c r="EA59" s="119"/>
      <c r="EB59" s="119"/>
      <c r="EC59" s="119"/>
      <c r="ED59" s="119"/>
      <c r="EE59" s="119"/>
      <c r="EF59" s="119"/>
      <c r="EG59" s="119"/>
      <c r="EH59" s="119"/>
      <c r="EI59" s="119"/>
      <c r="EJ59" s="119"/>
      <c r="EK59" s="119"/>
      <c r="EL59" s="119"/>
      <c r="EM59" s="119"/>
      <c r="EN59" s="119"/>
      <c r="EO59" s="119"/>
      <c r="EP59" s="119"/>
      <c r="EQ59" s="119"/>
      <c r="ER59" s="119"/>
      <c r="ES59" s="119"/>
      <c r="ET59" s="119"/>
      <c r="EU59" s="119"/>
      <c r="EV59" s="119"/>
      <c r="EW59" s="119"/>
      <c r="EX59" s="119"/>
      <c r="EY59" s="119"/>
      <c r="EZ59" s="119"/>
      <c r="FA59" s="119"/>
      <c r="FB59" s="119"/>
      <c r="FC59" s="119"/>
      <c r="FD59" s="119"/>
      <c r="FE59" s="119"/>
      <c r="FF59" s="119"/>
      <c r="FG59" s="119"/>
      <c r="FH59" s="119"/>
      <c r="FI59" s="119"/>
      <c r="FJ59" s="119"/>
      <c r="FK59" s="119"/>
      <c r="FL59" s="119"/>
      <c r="FM59" s="119"/>
      <c r="FN59" s="119"/>
      <c r="FO59" s="119"/>
      <c r="FP59" s="119"/>
      <c r="FQ59" s="119"/>
      <c r="FR59" s="119"/>
      <c r="FS59" s="119"/>
      <c r="FT59" s="119"/>
      <c r="FU59" s="119"/>
      <c r="FV59" s="119"/>
      <c r="FW59" s="119"/>
      <c r="FX59" s="119"/>
      <c r="FY59" s="119"/>
      <c r="FZ59" s="119"/>
      <c r="GA59" s="119"/>
      <c r="GB59" s="119"/>
      <c r="GC59" s="119"/>
      <c r="GD59" s="119"/>
      <c r="GE59" s="119"/>
      <c r="GF59" s="119"/>
      <c r="GG59" s="119"/>
      <c r="GH59" s="119"/>
      <c r="GI59" s="119"/>
      <c r="GJ59" s="119"/>
      <c r="GK59" s="119"/>
      <c r="GL59" s="119"/>
      <c r="GM59" s="119"/>
      <c r="GN59" s="119"/>
      <c r="GO59" s="119"/>
      <c r="GP59" s="119"/>
      <c r="GQ59" s="119"/>
      <c r="GR59" s="119"/>
      <c r="GS59" s="119"/>
      <c r="GT59" s="119"/>
      <c r="GU59" s="119"/>
      <c r="GV59" s="119"/>
      <c r="GW59" s="119"/>
      <c r="GX59" s="119"/>
      <c r="GY59" s="119"/>
      <c r="GZ59" s="119"/>
      <c r="HA59" s="119"/>
      <c r="HB59" s="119"/>
      <c r="HC59" s="119"/>
      <c r="HD59" s="119"/>
      <c r="HE59" s="119"/>
      <c r="HF59" s="119"/>
      <c r="HG59" s="119"/>
      <c r="HH59" s="119"/>
      <c r="HI59" s="119"/>
      <c r="HJ59" s="119"/>
      <c r="HK59" s="119"/>
      <c r="HL59" s="119"/>
      <c r="HM59" s="119"/>
      <c r="HN59" s="119"/>
      <c r="HO59" s="119"/>
      <c r="HP59" s="119"/>
      <c r="HQ59" s="119"/>
      <c r="HR59" s="119"/>
      <c r="HS59" s="119"/>
      <c r="HT59" s="119"/>
      <c r="HU59" s="119"/>
      <c r="HV59" s="119"/>
      <c r="HW59" s="119"/>
      <c r="HX59" s="119"/>
      <c r="HY59" s="119"/>
      <c r="HZ59" s="119"/>
      <c r="IA59" s="119"/>
      <c r="IB59" s="119"/>
      <c r="IC59" s="119"/>
      <c r="ID59" s="119"/>
      <c r="IE59" s="119"/>
      <c r="IF59" s="119"/>
      <c r="IG59" s="119"/>
      <c r="IH59" s="119"/>
      <c r="II59" s="119"/>
      <c r="IJ59" s="119"/>
      <c r="IK59" s="119"/>
      <c r="IL59" s="119"/>
      <c r="IM59" s="119"/>
      <c r="IN59" s="119"/>
      <c r="IO59" s="119"/>
      <c r="IP59" s="119"/>
      <c r="IQ59" s="119"/>
      <c r="IR59" s="119"/>
      <c r="IS59" s="119"/>
      <c r="IT59" s="119"/>
      <c r="IU59" s="119"/>
      <c r="IV59" s="119"/>
      <c r="IW59" s="119"/>
    </row>
    <row r="60" spans="1:257" s="187" customFormat="1" ht="18" customHeight="1" x14ac:dyDescent="0.35">
      <c r="A60" s="195">
        <v>51</v>
      </c>
      <c r="B60" s="575"/>
      <c r="C60" s="548"/>
      <c r="D60" s="1266" t="s">
        <v>862</v>
      </c>
      <c r="E60" s="238"/>
      <c r="F60" s="238"/>
      <c r="G60" s="576"/>
      <c r="H60" s="240"/>
      <c r="I60" s="1270"/>
      <c r="J60" s="1270"/>
      <c r="K60" s="1270"/>
      <c r="L60" s="1270"/>
      <c r="M60" s="1270">
        <f>SUM(M58:M59)</f>
        <v>0</v>
      </c>
      <c r="N60" s="1271"/>
      <c r="O60" s="576"/>
      <c r="P60" s="1275">
        <f>SUM(I60:N60)</f>
        <v>0</v>
      </c>
      <c r="Q60" s="1246"/>
      <c r="R60" s="119"/>
      <c r="S60" s="119"/>
      <c r="T60" s="119"/>
      <c r="U60" s="119"/>
      <c r="V60" s="119"/>
      <c r="W60" s="119"/>
      <c r="X60" s="119"/>
      <c r="Y60" s="119"/>
      <c r="Z60" s="119"/>
      <c r="AA60" s="119"/>
      <c r="AB60" s="119"/>
      <c r="AC60" s="119"/>
      <c r="AD60" s="119"/>
      <c r="AE60" s="119"/>
      <c r="AF60" s="119"/>
      <c r="AG60" s="119"/>
      <c r="AH60" s="119"/>
      <c r="AI60" s="119"/>
      <c r="AJ60" s="119"/>
      <c r="AK60" s="119"/>
      <c r="AL60" s="119"/>
      <c r="AM60" s="119"/>
      <c r="AN60" s="119"/>
      <c r="AO60" s="119"/>
      <c r="AP60" s="119"/>
      <c r="AQ60" s="119"/>
      <c r="AR60" s="119"/>
      <c r="AS60" s="119"/>
      <c r="AT60" s="119"/>
      <c r="AU60" s="119"/>
      <c r="AV60" s="119"/>
      <c r="AW60" s="119"/>
      <c r="AX60" s="119"/>
      <c r="AY60" s="119"/>
      <c r="AZ60" s="119"/>
      <c r="BA60" s="119"/>
      <c r="BB60" s="119"/>
      <c r="BC60" s="119"/>
      <c r="BD60" s="119"/>
      <c r="BE60" s="119"/>
      <c r="BF60" s="119"/>
      <c r="BG60" s="119"/>
      <c r="BH60" s="119"/>
      <c r="BI60" s="119"/>
      <c r="BJ60" s="119"/>
      <c r="BK60" s="119"/>
      <c r="BL60" s="119"/>
      <c r="BM60" s="119"/>
      <c r="BN60" s="119"/>
      <c r="BO60" s="119"/>
      <c r="BP60" s="119"/>
      <c r="BQ60" s="119"/>
      <c r="BR60" s="119"/>
      <c r="BS60" s="119"/>
      <c r="BT60" s="119"/>
      <c r="BU60" s="119"/>
      <c r="BV60" s="119"/>
      <c r="BW60" s="119"/>
      <c r="BX60" s="119"/>
      <c r="BY60" s="119"/>
      <c r="BZ60" s="119"/>
      <c r="CA60" s="119"/>
      <c r="CB60" s="119"/>
      <c r="CC60" s="119"/>
      <c r="CD60" s="119"/>
      <c r="CE60" s="119"/>
      <c r="CF60" s="119"/>
      <c r="CG60" s="119"/>
      <c r="CH60" s="119"/>
      <c r="CI60" s="119"/>
      <c r="CJ60" s="119"/>
      <c r="CK60" s="119"/>
      <c r="CL60" s="119"/>
      <c r="CM60" s="119"/>
      <c r="CN60" s="119"/>
      <c r="CO60" s="119"/>
      <c r="CP60" s="119"/>
      <c r="CQ60" s="119"/>
      <c r="CR60" s="119"/>
      <c r="CS60" s="119"/>
      <c r="CT60" s="119"/>
      <c r="CU60" s="119"/>
      <c r="CV60" s="119"/>
      <c r="CW60" s="119"/>
      <c r="CX60" s="119"/>
      <c r="CY60" s="119"/>
      <c r="CZ60" s="119"/>
      <c r="DA60" s="119"/>
      <c r="DB60" s="119"/>
      <c r="DC60" s="119"/>
      <c r="DD60" s="119"/>
      <c r="DE60" s="119"/>
      <c r="DF60" s="119"/>
      <c r="DG60" s="119"/>
      <c r="DH60" s="119"/>
      <c r="DI60" s="119"/>
      <c r="DJ60" s="119"/>
      <c r="DK60" s="119"/>
      <c r="DL60" s="119"/>
      <c r="DM60" s="119"/>
      <c r="DN60" s="119"/>
      <c r="DO60" s="119"/>
      <c r="DP60" s="119"/>
      <c r="DQ60" s="119"/>
      <c r="DR60" s="119"/>
      <c r="DS60" s="119"/>
      <c r="DT60" s="119"/>
      <c r="DU60" s="119"/>
      <c r="DV60" s="119"/>
      <c r="DW60" s="119"/>
      <c r="DX60" s="119"/>
      <c r="DY60" s="119"/>
      <c r="DZ60" s="119"/>
      <c r="EA60" s="119"/>
      <c r="EB60" s="119"/>
      <c r="EC60" s="119"/>
      <c r="ED60" s="119"/>
      <c r="EE60" s="119"/>
      <c r="EF60" s="119"/>
      <c r="EG60" s="119"/>
      <c r="EH60" s="119"/>
      <c r="EI60" s="119"/>
      <c r="EJ60" s="119"/>
      <c r="EK60" s="119"/>
      <c r="EL60" s="119"/>
      <c r="EM60" s="119"/>
      <c r="EN60" s="119"/>
      <c r="EO60" s="119"/>
      <c r="EP60" s="119"/>
      <c r="EQ60" s="119"/>
      <c r="ER60" s="119"/>
      <c r="ES60" s="119"/>
      <c r="ET60" s="119"/>
      <c r="EU60" s="119"/>
      <c r="EV60" s="119"/>
      <c r="EW60" s="119"/>
      <c r="EX60" s="119"/>
      <c r="EY60" s="119"/>
      <c r="EZ60" s="119"/>
      <c r="FA60" s="119"/>
      <c r="FB60" s="119"/>
      <c r="FC60" s="119"/>
      <c r="FD60" s="119"/>
      <c r="FE60" s="119"/>
      <c r="FF60" s="119"/>
      <c r="FG60" s="119"/>
      <c r="FH60" s="119"/>
      <c r="FI60" s="119"/>
      <c r="FJ60" s="119"/>
      <c r="FK60" s="119"/>
      <c r="FL60" s="119"/>
      <c r="FM60" s="119"/>
      <c r="FN60" s="119"/>
      <c r="FO60" s="119"/>
      <c r="FP60" s="119"/>
      <c r="FQ60" s="119"/>
      <c r="FR60" s="119"/>
      <c r="FS60" s="119"/>
      <c r="FT60" s="119"/>
      <c r="FU60" s="119"/>
      <c r="FV60" s="119"/>
      <c r="FW60" s="119"/>
      <c r="FX60" s="119"/>
      <c r="FY60" s="119"/>
      <c r="FZ60" s="119"/>
      <c r="GA60" s="119"/>
      <c r="GB60" s="119"/>
      <c r="GC60" s="119"/>
      <c r="GD60" s="119"/>
      <c r="GE60" s="119"/>
      <c r="GF60" s="119"/>
      <c r="GG60" s="119"/>
      <c r="GH60" s="119"/>
      <c r="GI60" s="119"/>
      <c r="GJ60" s="119"/>
      <c r="GK60" s="119"/>
      <c r="GL60" s="119"/>
      <c r="GM60" s="119"/>
      <c r="GN60" s="119"/>
      <c r="GO60" s="119"/>
      <c r="GP60" s="119"/>
      <c r="GQ60" s="119"/>
      <c r="GR60" s="119"/>
      <c r="GS60" s="119"/>
      <c r="GT60" s="119"/>
      <c r="GU60" s="119"/>
      <c r="GV60" s="119"/>
      <c r="GW60" s="119"/>
      <c r="GX60" s="119"/>
      <c r="GY60" s="119"/>
      <c r="GZ60" s="119"/>
      <c r="HA60" s="119"/>
      <c r="HB60" s="119"/>
      <c r="HC60" s="119"/>
      <c r="HD60" s="119"/>
      <c r="HE60" s="119"/>
      <c r="HF60" s="119"/>
      <c r="HG60" s="119"/>
      <c r="HH60" s="119"/>
      <c r="HI60" s="119"/>
      <c r="HJ60" s="119"/>
      <c r="HK60" s="119"/>
      <c r="HL60" s="119"/>
      <c r="HM60" s="119"/>
      <c r="HN60" s="119"/>
      <c r="HO60" s="119"/>
      <c r="HP60" s="119"/>
      <c r="HQ60" s="119"/>
      <c r="HR60" s="119"/>
      <c r="HS60" s="119"/>
      <c r="HT60" s="119"/>
      <c r="HU60" s="119"/>
      <c r="HV60" s="119"/>
      <c r="HW60" s="119"/>
      <c r="HX60" s="119"/>
      <c r="HY60" s="119"/>
      <c r="HZ60" s="119"/>
      <c r="IA60" s="119"/>
      <c r="IB60" s="119"/>
      <c r="IC60" s="119"/>
      <c r="ID60" s="119"/>
      <c r="IE60" s="119"/>
      <c r="IF60" s="119"/>
      <c r="IG60" s="119"/>
      <c r="IH60" s="119"/>
      <c r="II60" s="119"/>
      <c r="IJ60" s="119"/>
      <c r="IK60" s="119"/>
      <c r="IL60" s="119"/>
      <c r="IM60" s="119"/>
      <c r="IN60" s="119"/>
      <c r="IO60" s="119"/>
      <c r="IP60" s="119"/>
      <c r="IQ60" s="119"/>
      <c r="IR60" s="119"/>
      <c r="IS60" s="119"/>
      <c r="IT60" s="119"/>
      <c r="IU60" s="119"/>
      <c r="IV60" s="119"/>
      <c r="IW60" s="119"/>
    </row>
    <row r="61" spans="1:257" s="187" customFormat="1" ht="22.5" customHeight="1" x14ac:dyDescent="0.35">
      <c r="A61" s="195">
        <v>52</v>
      </c>
      <c r="B61" s="575"/>
      <c r="C61" s="871">
        <v>27</v>
      </c>
      <c r="D61" s="872" t="s">
        <v>522</v>
      </c>
      <c r="E61" s="547">
        <f>F61+G61+P65+Q62+1600</f>
        <v>61500</v>
      </c>
      <c r="F61" s="238"/>
      <c r="G61" s="579"/>
      <c r="H61" s="578" t="s">
        <v>24</v>
      </c>
      <c r="I61" s="549"/>
      <c r="J61" s="549"/>
      <c r="K61" s="549"/>
      <c r="L61" s="549"/>
      <c r="M61" s="549"/>
      <c r="N61" s="577"/>
      <c r="O61" s="1782"/>
      <c r="P61" s="236"/>
      <c r="Q61" s="235"/>
      <c r="R61" s="119"/>
      <c r="S61" s="119"/>
      <c r="T61" s="119"/>
      <c r="U61" s="119"/>
      <c r="V61" s="119"/>
      <c r="W61" s="119"/>
      <c r="X61" s="119"/>
      <c r="Y61" s="119"/>
      <c r="Z61" s="119"/>
      <c r="AA61" s="119"/>
      <c r="AB61" s="119"/>
      <c r="AC61" s="119"/>
      <c r="AD61" s="119"/>
      <c r="AE61" s="119"/>
      <c r="AF61" s="119"/>
      <c r="AG61" s="119"/>
      <c r="AH61" s="119"/>
      <c r="AI61" s="119"/>
      <c r="AJ61" s="119"/>
      <c r="AK61" s="119"/>
      <c r="AL61" s="119"/>
      <c r="AM61" s="119"/>
      <c r="AN61" s="119"/>
      <c r="AO61" s="119"/>
      <c r="AP61" s="119"/>
      <c r="AQ61" s="119"/>
      <c r="AR61" s="119"/>
      <c r="AS61" s="119"/>
      <c r="AT61" s="119"/>
      <c r="AU61" s="119"/>
      <c r="AV61" s="119"/>
      <c r="AW61" s="119"/>
      <c r="AX61" s="119"/>
      <c r="AY61" s="119"/>
      <c r="AZ61" s="119"/>
      <c r="BA61" s="119"/>
      <c r="BB61" s="119"/>
      <c r="BC61" s="119"/>
      <c r="BD61" s="119"/>
      <c r="BE61" s="119"/>
      <c r="BF61" s="119"/>
      <c r="BG61" s="119"/>
      <c r="BH61" s="119"/>
      <c r="BI61" s="119"/>
      <c r="BJ61" s="119"/>
      <c r="BK61" s="119"/>
      <c r="BL61" s="119"/>
      <c r="BM61" s="119"/>
      <c r="BN61" s="119"/>
      <c r="BO61" s="119"/>
      <c r="BP61" s="119"/>
      <c r="BQ61" s="119"/>
      <c r="BR61" s="119"/>
      <c r="BS61" s="119"/>
      <c r="BT61" s="119"/>
      <c r="BU61" s="119"/>
      <c r="BV61" s="119"/>
      <c r="BW61" s="119"/>
      <c r="BX61" s="119"/>
      <c r="BY61" s="119"/>
      <c r="BZ61" s="119"/>
      <c r="CA61" s="119"/>
      <c r="CB61" s="119"/>
      <c r="CC61" s="119"/>
      <c r="CD61" s="119"/>
      <c r="CE61" s="119"/>
      <c r="CF61" s="119"/>
      <c r="CG61" s="119"/>
      <c r="CH61" s="119"/>
      <c r="CI61" s="119"/>
      <c r="CJ61" s="119"/>
      <c r="CK61" s="119"/>
      <c r="CL61" s="119"/>
      <c r="CM61" s="119"/>
      <c r="CN61" s="119"/>
      <c r="CO61" s="119"/>
      <c r="CP61" s="119"/>
      <c r="CQ61" s="119"/>
      <c r="CR61" s="119"/>
      <c r="CS61" s="119"/>
      <c r="CT61" s="119"/>
      <c r="CU61" s="119"/>
      <c r="CV61" s="119"/>
      <c r="CW61" s="119"/>
      <c r="CX61" s="119"/>
      <c r="CY61" s="119"/>
      <c r="CZ61" s="119"/>
      <c r="DA61" s="119"/>
      <c r="DB61" s="119"/>
      <c r="DC61" s="119"/>
      <c r="DD61" s="119"/>
      <c r="DE61" s="119"/>
      <c r="DF61" s="119"/>
      <c r="DG61" s="119"/>
      <c r="DH61" s="119"/>
      <c r="DI61" s="119"/>
      <c r="DJ61" s="119"/>
      <c r="DK61" s="119"/>
      <c r="DL61" s="119"/>
      <c r="DM61" s="119"/>
      <c r="DN61" s="119"/>
      <c r="DO61" s="119"/>
      <c r="DP61" s="119"/>
      <c r="DQ61" s="119"/>
      <c r="DR61" s="119"/>
      <c r="DS61" s="119"/>
      <c r="DT61" s="119"/>
      <c r="DU61" s="119"/>
      <c r="DV61" s="119"/>
      <c r="DW61" s="119"/>
      <c r="DX61" s="119"/>
      <c r="DY61" s="119"/>
      <c r="DZ61" s="119"/>
      <c r="EA61" s="119"/>
      <c r="EB61" s="119"/>
      <c r="EC61" s="119"/>
      <c r="ED61" s="119"/>
      <c r="EE61" s="119"/>
      <c r="EF61" s="119"/>
      <c r="EG61" s="119"/>
      <c r="EH61" s="119"/>
      <c r="EI61" s="119"/>
      <c r="EJ61" s="119"/>
      <c r="EK61" s="119"/>
      <c r="EL61" s="119"/>
      <c r="EM61" s="119"/>
      <c r="EN61" s="119"/>
      <c r="EO61" s="119"/>
      <c r="EP61" s="119"/>
      <c r="EQ61" s="119"/>
      <c r="ER61" s="119"/>
      <c r="ES61" s="119"/>
      <c r="ET61" s="119"/>
      <c r="EU61" s="119"/>
      <c r="EV61" s="119"/>
      <c r="EW61" s="119"/>
      <c r="EX61" s="119"/>
      <c r="EY61" s="119"/>
      <c r="EZ61" s="119"/>
      <c r="FA61" s="119"/>
      <c r="FB61" s="119"/>
      <c r="FC61" s="119"/>
      <c r="FD61" s="119"/>
      <c r="FE61" s="119"/>
      <c r="FF61" s="119"/>
      <c r="FG61" s="119"/>
      <c r="FH61" s="119"/>
      <c r="FI61" s="119"/>
      <c r="FJ61" s="119"/>
      <c r="FK61" s="119"/>
      <c r="FL61" s="119"/>
      <c r="FM61" s="119"/>
      <c r="FN61" s="119"/>
      <c r="FO61" s="119"/>
      <c r="FP61" s="119"/>
      <c r="FQ61" s="119"/>
      <c r="FR61" s="119"/>
      <c r="FS61" s="119"/>
      <c r="FT61" s="119"/>
      <c r="FU61" s="119"/>
      <c r="FV61" s="119"/>
      <c r="FW61" s="119"/>
      <c r="FX61" s="119"/>
      <c r="FY61" s="119"/>
      <c r="FZ61" s="119"/>
      <c r="GA61" s="119"/>
      <c r="GB61" s="119"/>
      <c r="GC61" s="119"/>
      <c r="GD61" s="119"/>
      <c r="GE61" s="119"/>
      <c r="GF61" s="119"/>
      <c r="GG61" s="119"/>
      <c r="GH61" s="119"/>
      <c r="GI61" s="119"/>
      <c r="GJ61" s="119"/>
      <c r="GK61" s="119"/>
      <c r="GL61" s="119"/>
      <c r="GM61" s="119"/>
      <c r="GN61" s="119"/>
      <c r="GO61" s="119"/>
      <c r="GP61" s="119"/>
      <c r="GQ61" s="119"/>
      <c r="GR61" s="119"/>
      <c r="GS61" s="119"/>
      <c r="GT61" s="119"/>
      <c r="GU61" s="119"/>
      <c r="GV61" s="119"/>
      <c r="GW61" s="119"/>
      <c r="GX61" s="119"/>
      <c r="GY61" s="119"/>
      <c r="GZ61" s="119"/>
      <c r="HA61" s="119"/>
      <c r="HB61" s="119"/>
      <c r="HC61" s="119"/>
      <c r="HD61" s="119"/>
      <c r="HE61" s="119"/>
      <c r="HF61" s="119"/>
      <c r="HG61" s="119"/>
      <c r="HH61" s="119"/>
      <c r="HI61" s="119"/>
      <c r="HJ61" s="119"/>
      <c r="HK61" s="119"/>
      <c r="HL61" s="119"/>
      <c r="HM61" s="119"/>
      <c r="HN61" s="119"/>
      <c r="HO61" s="119"/>
      <c r="HP61" s="119"/>
      <c r="HQ61" s="119"/>
      <c r="HR61" s="119"/>
      <c r="HS61" s="119"/>
      <c r="HT61" s="119"/>
      <c r="HU61" s="119"/>
      <c r="HV61" s="119"/>
      <c r="HW61" s="119"/>
      <c r="HX61" s="119"/>
      <c r="HY61" s="119"/>
      <c r="HZ61" s="119"/>
      <c r="IA61" s="119"/>
      <c r="IB61" s="119"/>
      <c r="IC61" s="119"/>
      <c r="ID61" s="119"/>
      <c r="IE61" s="119"/>
      <c r="IF61" s="119"/>
      <c r="IG61" s="119"/>
      <c r="IH61" s="119"/>
      <c r="II61" s="119"/>
      <c r="IJ61" s="119"/>
      <c r="IK61" s="119"/>
      <c r="IL61" s="119"/>
      <c r="IM61" s="119"/>
      <c r="IN61" s="119"/>
      <c r="IO61" s="119"/>
      <c r="IP61" s="119"/>
      <c r="IQ61" s="119"/>
      <c r="IR61" s="119"/>
      <c r="IS61" s="119"/>
      <c r="IT61" s="119"/>
      <c r="IU61" s="119"/>
      <c r="IV61" s="119"/>
      <c r="IW61" s="119"/>
    </row>
    <row r="62" spans="1:257" s="187" customFormat="1" ht="18" customHeight="1" x14ac:dyDescent="0.35">
      <c r="A62" s="195">
        <v>53</v>
      </c>
      <c r="B62" s="575"/>
      <c r="C62" s="548"/>
      <c r="D62" s="237" t="s">
        <v>245</v>
      </c>
      <c r="E62" s="238"/>
      <c r="F62" s="238"/>
      <c r="G62" s="576"/>
      <c r="H62" s="240"/>
      <c r="I62" s="549"/>
      <c r="J62" s="549"/>
      <c r="K62" s="549">
        <v>20000</v>
      </c>
      <c r="L62" s="549"/>
      <c r="M62" s="549"/>
      <c r="N62" s="577"/>
      <c r="O62" s="1782"/>
      <c r="P62" s="236">
        <f>SUM(I62:N62)</f>
        <v>20000</v>
      </c>
      <c r="Q62" s="580">
        <v>41500</v>
      </c>
      <c r="R62" s="119"/>
      <c r="S62" s="119"/>
      <c r="T62" s="119"/>
      <c r="U62" s="119"/>
      <c r="V62" s="119"/>
      <c r="W62" s="119"/>
      <c r="X62" s="119"/>
      <c r="Y62" s="119"/>
      <c r="Z62" s="119"/>
      <c r="AA62" s="119"/>
      <c r="AB62" s="119"/>
      <c r="AC62" s="119"/>
      <c r="AD62" s="119"/>
      <c r="AE62" s="119"/>
      <c r="AF62" s="119"/>
      <c r="AG62" s="119"/>
      <c r="AH62" s="119"/>
      <c r="AI62" s="119"/>
      <c r="AJ62" s="119"/>
      <c r="AK62" s="119"/>
      <c r="AL62" s="119"/>
      <c r="AM62" s="119"/>
      <c r="AN62" s="119"/>
      <c r="AO62" s="119"/>
      <c r="AP62" s="119"/>
      <c r="AQ62" s="119"/>
      <c r="AR62" s="119"/>
      <c r="AS62" s="119"/>
      <c r="AT62" s="119"/>
      <c r="AU62" s="119"/>
      <c r="AV62" s="119"/>
      <c r="AW62" s="119"/>
      <c r="AX62" s="119"/>
      <c r="AY62" s="119"/>
      <c r="AZ62" s="119"/>
      <c r="BA62" s="119"/>
      <c r="BB62" s="119"/>
      <c r="BC62" s="119"/>
      <c r="BD62" s="119"/>
      <c r="BE62" s="119"/>
      <c r="BF62" s="119"/>
      <c r="BG62" s="119"/>
      <c r="BH62" s="119"/>
      <c r="BI62" s="119"/>
      <c r="BJ62" s="119"/>
      <c r="BK62" s="119"/>
      <c r="BL62" s="119"/>
      <c r="BM62" s="119"/>
      <c r="BN62" s="119"/>
      <c r="BO62" s="119"/>
      <c r="BP62" s="119"/>
      <c r="BQ62" s="119"/>
      <c r="BR62" s="119"/>
      <c r="BS62" s="119"/>
      <c r="BT62" s="119"/>
      <c r="BU62" s="119"/>
      <c r="BV62" s="119"/>
      <c r="BW62" s="119"/>
      <c r="BX62" s="119"/>
      <c r="BY62" s="119"/>
      <c r="BZ62" s="119"/>
      <c r="CA62" s="119"/>
      <c r="CB62" s="119"/>
      <c r="CC62" s="119"/>
      <c r="CD62" s="119"/>
      <c r="CE62" s="119"/>
      <c r="CF62" s="119"/>
      <c r="CG62" s="119"/>
      <c r="CH62" s="119"/>
      <c r="CI62" s="119"/>
      <c r="CJ62" s="119"/>
      <c r="CK62" s="119"/>
      <c r="CL62" s="119"/>
      <c r="CM62" s="119"/>
      <c r="CN62" s="119"/>
      <c r="CO62" s="119"/>
      <c r="CP62" s="119"/>
      <c r="CQ62" s="119"/>
      <c r="CR62" s="119"/>
      <c r="CS62" s="119"/>
      <c r="CT62" s="119"/>
      <c r="CU62" s="119"/>
      <c r="CV62" s="119"/>
      <c r="CW62" s="119"/>
      <c r="CX62" s="119"/>
      <c r="CY62" s="119"/>
      <c r="CZ62" s="119"/>
      <c r="DA62" s="119"/>
      <c r="DB62" s="119"/>
      <c r="DC62" s="119"/>
      <c r="DD62" s="119"/>
      <c r="DE62" s="119"/>
      <c r="DF62" s="119"/>
      <c r="DG62" s="119"/>
      <c r="DH62" s="119"/>
      <c r="DI62" s="119"/>
      <c r="DJ62" s="119"/>
      <c r="DK62" s="119"/>
      <c r="DL62" s="119"/>
      <c r="DM62" s="119"/>
      <c r="DN62" s="119"/>
      <c r="DO62" s="119"/>
      <c r="DP62" s="119"/>
      <c r="DQ62" s="119"/>
      <c r="DR62" s="119"/>
      <c r="DS62" s="119"/>
      <c r="DT62" s="119"/>
      <c r="DU62" s="119"/>
      <c r="DV62" s="119"/>
      <c r="DW62" s="119"/>
      <c r="DX62" s="119"/>
      <c r="DY62" s="119"/>
      <c r="DZ62" s="119"/>
      <c r="EA62" s="119"/>
      <c r="EB62" s="119"/>
      <c r="EC62" s="119"/>
      <c r="ED62" s="119"/>
      <c r="EE62" s="119"/>
      <c r="EF62" s="119"/>
      <c r="EG62" s="119"/>
      <c r="EH62" s="119"/>
      <c r="EI62" s="119"/>
      <c r="EJ62" s="119"/>
      <c r="EK62" s="119"/>
      <c r="EL62" s="119"/>
      <c r="EM62" s="119"/>
      <c r="EN62" s="119"/>
      <c r="EO62" s="119"/>
      <c r="EP62" s="119"/>
      <c r="EQ62" s="119"/>
      <c r="ER62" s="119"/>
      <c r="ES62" s="119"/>
      <c r="ET62" s="119"/>
      <c r="EU62" s="119"/>
      <c r="EV62" s="119"/>
      <c r="EW62" s="119"/>
      <c r="EX62" s="119"/>
      <c r="EY62" s="119"/>
      <c r="EZ62" s="119"/>
      <c r="FA62" s="119"/>
      <c r="FB62" s="119"/>
      <c r="FC62" s="119"/>
      <c r="FD62" s="119"/>
      <c r="FE62" s="119"/>
      <c r="FF62" s="119"/>
      <c r="FG62" s="119"/>
      <c r="FH62" s="119"/>
      <c r="FI62" s="119"/>
      <c r="FJ62" s="119"/>
      <c r="FK62" s="119"/>
      <c r="FL62" s="119"/>
      <c r="FM62" s="119"/>
      <c r="FN62" s="119"/>
      <c r="FO62" s="119"/>
      <c r="FP62" s="119"/>
      <c r="FQ62" s="119"/>
      <c r="FR62" s="119"/>
      <c r="FS62" s="119"/>
      <c r="FT62" s="119"/>
      <c r="FU62" s="119"/>
      <c r="FV62" s="119"/>
      <c r="FW62" s="119"/>
      <c r="FX62" s="119"/>
      <c r="FY62" s="119"/>
      <c r="FZ62" s="119"/>
      <c r="GA62" s="119"/>
      <c r="GB62" s="119"/>
      <c r="GC62" s="119"/>
      <c r="GD62" s="119"/>
      <c r="GE62" s="119"/>
      <c r="GF62" s="119"/>
      <c r="GG62" s="119"/>
      <c r="GH62" s="119"/>
      <c r="GI62" s="119"/>
      <c r="GJ62" s="119"/>
      <c r="GK62" s="119"/>
      <c r="GL62" s="119"/>
      <c r="GM62" s="119"/>
      <c r="GN62" s="119"/>
      <c r="GO62" s="119"/>
      <c r="GP62" s="119"/>
      <c r="GQ62" s="119"/>
      <c r="GR62" s="119"/>
      <c r="GS62" s="119"/>
      <c r="GT62" s="119"/>
      <c r="GU62" s="119"/>
      <c r="GV62" s="119"/>
      <c r="GW62" s="119"/>
      <c r="GX62" s="119"/>
      <c r="GY62" s="119"/>
      <c r="GZ62" s="119"/>
      <c r="HA62" s="119"/>
      <c r="HB62" s="119"/>
      <c r="HC62" s="119"/>
      <c r="HD62" s="119"/>
      <c r="HE62" s="119"/>
      <c r="HF62" s="119"/>
      <c r="HG62" s="119"/>
      <c r="HH62" s="119"/>
      <c r="HI62" s="119"/>
      <c r="HJ62" s="119"/>
      <c r="HK62" s="119"/>
      <c r="HL62" s="119"/>
      <c r="HM62" s="119"/>
      <c r="HN62" s="119"/>
      <c r="HO62" s="119"/>
      <c r="HP62" s="119"/>
      <c r="HQ62" s="119"/>
      <c r="HR62" s="119"/>
      <c r="HS62" s="119"/>
      <c r="HT62" s="119"/>
      <c r="HU62" s="119"/>
      <c r="HV62" s="119"/>
      <c r="HW62" s="119"/>
      <c r="HX62" s="119"/>
      <c r="HY62" s="119"/>
      <c r="HZ62" s="119"/>
      <c r="IA62" s="119"/>
      <c r="IB62" s="119"/>
      <c r="IC62" s="119"/>
      <c r="ID62" s="119"/>
      <c r="IE62" s="119"/>
      <c r="IF62" s="119"/>
      <c r="IG62" s="119"/>
      <c r="IH62" s="119"/>
      <c r="II62" s="119"/>
      <c r="IJ62" s="119"/>
      <c r="IK62" s="119"/>
      <c r="IL62" s="119"/>
      <c r="IM62" s="119"/>
      <c r="IN62" s="119"/>
      <c r="IO62" s="119"/>
      <c r="IP62" s="119"/>
      <c r="IQ62" s="119"/>
      <c r="IR62" s="119"/>
      <c r="IS62" s="119"/>
      <c r="IT62" s="119"/>
      <c r="IU62" s="119"/>
      <c r="IV62" s="119"/>
      <c r="IW62" s="119"/>
    </row>
    <row r="63" spans="1:257" s="187" customFormat="1" ht="18" customHeight="1" x14ac:dyDescent="0.35">
      <c r="A63" s="195">
        <v>54</v>
      </c>
      <c r="B63" s="575"/>
      <c r="C63" s="548"/>
      <c r="D63" s="1266" t="s">
        <v>808</v>
      </c>
      <c r="E63" s="238"/>
      <c r="F63" s="238"/>
      <c r="G63" s="576"/>
      <c r="H63" s="240"/>
      <c r="I63" s="1270">
        <v>50</v>
      </c>
      <c r="J63" s="1270">
        <v>20</v>
      </c>
      <c r="K63" s="1270">
        <v>18330</v>
      </c>
      <c r="L63" s="1270"/>
      <c r="M63" s="1270"/>
      <c r="N63" s="1271"/>
      <c r="O63" s="576"/>
      <c r="P63" s="1275">
        <f>SUM(I63:N63)</f>
        <v>18400</v>
      </c>
      <c r="Q63" s="1246"/>
      <c r="R63" s="119"/>
      <c r="S63" s="119"/>
      <c r="T63" s="119"/>
      <c r="U63" s="119"/>
      <c r="V63" s="119"/>
      <c r="W63" s="119"/>
      <c r="X63" s="119"/>
      <c r="Y63" s="119"/>
      <c r="Z63" s="119"/>
      <c r="AA63" s="119"/>
      <c r="AB63" s="119"/>
      <c r="AC63" s="119"/>
      <c r="AD63" s="119"/>
      <c r="AE63" s="119"/>
      <c r="AF63" s="119"/>
      <c r="AG63" s="119"/>
      <c r="AH63" s="119"/>
      <c r="AI63" s="119"/>
      <c r="AJ63" s="119"/>
      <c r="AK63" s="119"/>
      <c r="AL63" s="119"/>
      <c r="AM63" s="119"/>
      <c r="AN63" s="119"/>
      <c r="AO63" s="119"/>
      <c r="AP63" s="119"/>
      <c r="AQ63" s="119"/>
      <c r="AR63" s="119"/>
      <c r="AS63" s="119"/>
      <c r="AT63" s="119"/>
      <c r="AU63" s="119"/>
      <c r="AV63" s="119"/>
      <c r="AW63" s="119"/>
      <c r="AX63" s="119"/>
      <c r="AY63" s="119"/>
      <c r="AZ63" s="119"/>
      <c r="BA63" s="119"/>
      <c r="BB63" s="119"/>
      <c r="BC63" s="119"/>
      <c r="BD63" s="119"/>
      <c r="BE63" s="119"/>
      <c r="BF63" s="119"/>
      <c r="BG63" s="119"/>
      <c r="BH63" s="119"/>
      <c r="BI63" s="119"/>
      <c r="BJ63" s="119"/>
      <c r="BK63" s="119"/>
      <c r="BL63" s="119"/>
      <c r="BM63" s="119"/>
      <c r="BN63" s="119"/>
      <c r="BO63" s="119"/>
      <c r="BP63" s="119"/>
      <c r="BQ63" s="119"/>
      <c r="BR63" s="119"/>
      <c r="BS63" s="119"/>
      <c r="BT63" s="119"/>
      <c r="BU63" s="119"/>
      <c r="BV63" s="119"/>
      <c r="BW63" s="119"/>
      <c r="BX63" s="119"/>
      <c r="BY63" s="119"/>
      <c r="BZ63" s="119"/>
      <c r="CA63" s="119"/>
      <c r="CB63" s="119"/>
      <c r="CC63" s="119"/>
      <c r="CD63" s="119"/>
      <c r="CE63" s="119"/>
      <c r="CF63" s="119"/>
      <c r="CG63" s="119"/>
      <c r="CH63" s="119"/>
      <c r="CI63" s="119"/>
      <c r="CJ63" s="119"/>
      <c r="CK63" s="119"/>
      <c r="CL63" s="119"/>
      <c r="CM63" s="119"/>
      <c r="CN63" s="119"/>
      <c r="CO63" s="119"/>
      <c r="CP63" s="119"/>
      <c r="CQ63" s="119"/>
      <c r="CR63" s="119"/>
      <c r="CS63" s="119"/>
      <c r="CT63" s="119"/>
      <c r="CU63" s="119"/>
      <c r="CV63" s="119"/>
      <c r="CW63" s="119"/>
      <c r="CX63" s="119"/>
      <c r="CY63" s="119"/>
      <c r="CZ63" s="119"/>
      <c r="DA63" s="119"/>
      <c r="DB63" s="119"/>
      <c r="DC63" s="119"/>
      <c r="DD63" s="119"/>
      <c r="DE63" s="119"/>
      <c r="DF63" s="119"/>
      <c r="DG63" s="119"/>
      <c r="DH63" s="119"/>
      <c r="DI63" s="119"/>
      <c r="DJ63" s="119"/>
      <c r="DK63" s="119"/>
      <c r="DL63" s="119"/>
      <c r="DM63" s="119"/>
      <c r="DN63" s="119"/>
      <c r="DO63" s="119"/>
      <c r="DP63" s="119"/>
      <c r="DQ63" s="119"/>
      <c r="DR63" s="119"/>
      <c r="DS63" s="119"/>
      <c r="DT63" s="119"/>
      <c r="DU63" s="119"/>
      <c r="DV63" s="119"/>
      <c r="DW63" s="119"/>
      <c r="DX63" s="119"/>
      <c r="DY63" s="119"/>
      <c r="DZ63" s="119"/>
      <c r="EA63" s="119"/>
      <c r="EB63" s="119"/>
      <c r="EC63" s="119"/>
      <c r="ED63" s="119"/>
      <c r="EE63" s="119"/>
      <c r="EF63" s="119"/>
      <c r="EG63" s="119"/>
      <c r="EH63" s="119"/>
      <c r="EI63" s="119"/>
      <c r="EJ63" s="119"/>
      <c r="EK63" s="119"/>
      <c r="EL63" s="119"/>
      <c r="EM63" s="119"/>
      <c r="EN63" s="119"/>
      <c r="EO63" s="119"/>
      <c r="EP63" s="119"/>
      <c r="EQ63" s="119"/>
      <c r="ER63" s="119"/>
      <c r="ES63" s="119"/>
      <c r="ET63" s="119"/>
      <c r="EU63" s="119"/>
      <c r="EV63" s="119"/>
      <c r="EW63" s="119"/>
      <c r="EX63" s="119"/>
      <c r="EY63" s="119"/>
      <c r="EZ63" s="119"/>
      <c r="FA63" s="119"/>
      <c r="FB63" s="119"/>
      <c r="FC63" s="119"/>
      <c r="FD63" s="119"/>
      <c r="FE63" s="119"/>
      <c r="FF63" s="119"/>
      <c r="FG63" s="119"/>
      <c r="FH63" s="119"/>
      <c r="FI63" s="119"/>
      <c r="FJ63" s="119"/>
      <c r="FK63" s="119"/>
      <c r="FL63" s="119"/>
      <c r="FM63" s="119"/>
      <c r="FN63" s="119"/>
      <c r="FO63" s="119"/>
      <c r="FP63" s="119"/>
      <c r="FQ63" s="119"/>
      <c r="FR63" s="119"/>
      <c r="FS63" s="119"/>
      <c r="FT63" s="119"/>
      <c r="FU63" s="119"/>
      <c r="FV63" s="119"/>
      <c r="FW63" s="119"/>
      <c r="FX63" s="119"/>
      <c r="FY63" s="119"/>
      <c r="FZ63" s="119"/>
      <c r="GA63" s="119"/>
      <c r="GB63" s="119"/>
      <c r="GC63" s="119"/>
      <c r="GD63" s="119"/>
      <c r="GE63" s="119"/>
      <c r="GF63" s="119"/>
      <c r="GG63" s="119"/>
      <c r="GH63" s="119"/>
      <c r="GI63" s="119"/>
      <c r="GJ63" s="119"/>
      <c r="GK63" s="119"/>
      <c r="GL63" s="119"/>
      <c r="GM63" s="119"/>
      <c r="GN63" s="119"/>
      <c r="GO63" s="119"/>
      <c r="GP63" s="119"/>
      <c r="GQ63" s="119"/>
      <c r="GR63" s="119"/>
      <c r="GS63" s="119"/>
      <c r="GT63" s="119"/>
      <c r="GU63" s="119"/>
      <c r="GV63" s="119"/>
      <c r="GW63" s="119"/>
      <c r="GX63" s="119"/>
      <c r="GY63" s="119"/>
      <c r="GZ63" s="119"/>
      <c r="HA63" s="119"/>
      <c r="HB63" s="119"/>
      <c r="HC63" s="119"/>
      <c r="HD63" s="119"/>
      <c r="HE63" s="119"/>
      <c r="HF63" s="119"/>
      <c r="HG63" s="119"/>
      <c r="HH63" s="119"/>
      <c r="HI63" s="119"/>
      <c r="HJ63" s="119"/>
      <c r="HK63" s="119"/>
      <c r="HL63" s="119"/>
      <c r="HM63" s="119"/>
      <c r="HN63" s="119"/>
      <c r="HO63" s="119"/>
      <c r="HP63" s="119"/>
      <c r="HQ63" s="119"/>
      <c r="HR63" s="119"/>
      <c r="HS63" s="119"/>
      <c r="HT63" s="119"/>
      <c r="HU63" s="119"/>
      <c r="HV63" s="119"/>
      <c r="HW63" s="119"/>
      <c r="HX63" s="119"/>
      <c r="HY63" s="119"/>
      <c r="HZ63" s="119"/>
      <c r="IA63" s="119"/>
      <c r="IB63" s="119"/>
      <c r="IC63" s="119"/>
      <c r="ID63" s="119"/>
      <c r="IE63" s="119"/>
      <c r="IF63" s="119"/>
      <c r="IG63" s="119"/>
      <c r="IH63" s="119"/>
      <c r="II63" s="119"/>
      <c r="IJ63" s="119"/>
      <c r="IK63" s="119"/>
      <c r="IL63" s="119"/>
      <c r="IM63" s="119"/>
      <c r="IN63" s="119"/>
      <c r="IO63" s="119"/>
      <c r="IP63" s="119"/>
      <c r="IQ63" s="119"/>
      <c r="IR63" s="119"/>
      <c r="IS63" s="119"/>
      <c r="IT63" s="119"/>
      <c r="IU63" s="119"/>
      <c r="IV63" s="119"/>
      <c r="IW63" s="119"/>
    </row>
    <row r="64" spans="1:257" s="187" customFormat="1" ht="18" customHeight="1" x14ac:dyDescent="0.35">
      <c r="A64" s="195">
        <v>55</v>
      </c>
      <c r="B64" s="575"/>
      <c r="C64" s="548"/>
      <c r="D64" s="1265" t="s">
        <v>656</v>
      </c>
      <c r="E64" s="238"/>
      <c r="F64" s="238"/>
      <c r="G64" s="576"/>
      <c r="H64" s="240"/>
      <c r="I64" s="1273"/>
      <c r="J64" s="1273"/>
      <c r="K64" s="1273"/>
      <c r="L64" s="1273"/>
      <c r="M64" s="1273"/>
      <c r="N64" s="1273"/>
      <c r="O64" s="1781"/>
      <c r="P64" s="1276">
        <f t="shared" ref="P64:P65" si="15">SUM(I64:N64)</f>
        <v>0</v>
      </c>
      <c r="Q64" s="1246"/>
      <c r="R64" s="119"/>
      <c r="S64" s="119"/>
      <c r="T64" s="119"/>
      <c r="U64" s="119"/>
      <c r="V64" s="119"/>
      <c r="W64" s="119"/>
      <c r="X64" s="119"/>
      <c r="Y64" s="119"/>
      <c r="Z64" s="119"/>
      <c r="AA64" s="119"/>
      <c r="AB64" s="119"/>
      <c r="AC64" s="119"/>
      <c r="AD64" s="119"/>
      <c r="AE64" s="119"/>
      <c r="AF64" s="119"/>
      <c r="AG64" s="119"/>
      <c r="AH64" s="119"/>
      <c r="AI64" s="119"/>
      <c r="AJ64" s="119"/>
      <c r="AK64" s="119"/>
      <c r="AL64" s="119"/>
      <c r="AM64" s="119"/>
      <c r="AN64" s="119"/>
      <c r="AO64" s="119"/>
      <c r="AP64" s="119"/>
      <c r="AQ64" s="119"/>
      <c r="AR64" s="119"/>
      <c r="AS64" s="119"/>
      <c r="AT64" s="119"/>
      <c r="AU64" s="119"/>
      <c r="AV64" s="119"/>
      <c r="AW64" s="119"/>
      <c r="AX64" s="119"/>
      <c r="AY64" s="119"/>
      <c r="AZ64" s="119"/>
      <c r="BA64" s="119"/>
      <c r="BB64" s="119"/>
      <c r="BC64" s="119"/>
      <c r="BD64" s="119"/>
      <c r="BE64" s="119"/>
      <c r="BF64" s="119"/>
      <c r="BG64" s="119"/>
      <c r="BH64" s="119"/>
      <c r="BI64" s="119"/>
      <c r="BJ64" s="119"/>
      <c r="BK64" s="119"/>
      <c r="BL64" s="119"/>
      <c r="BM64" s="119"/>
      <c r="BN64" s="119"/>
      <c r="BO64" s="119"/>
      <c r="BP64" s="119"/>
      <c r="BQ64" s="119"/>
      <c r="BR64" s="119"/>
      <c r="BS64" s="119"/>
      <c r="BT64" s="119"/>
      <c r="BU64" s="119"/>
      <c r="BV64" s="119"/>
      <c r="BW64" s="119"/>
      <c r="BX64" s="119"/>
      <c r="BY64" s="119"/>
      <c r="BZ64" s="119"/>
      <c r="CA64" s="119"/>
      <c r="CB64" s="119"/>
      <c r="CC64" s="119"/>
      <c r="CD64" s="119"/>
      <c r="CE64" s="119"/>
      <c r="CF64" s="119"/>
      <c r="CG64" s="119"/>
      <c r="CH64" s="119"/>
      <c r="CI64" s="119"/>
      <c r="CJ64" s="119"/>
      <c r="CK64" s="119"/>
      <c r="CL64" s="119"/>
      <c r="CM64" s="119"/>
      <c r="CN64" s="119"/>
      <c r="CO64" s="119"/>
      <c r="CP64" s="119"/>
      <c r="CQ64" s="119"/>
      <c r="CR64" s="119"/>
      <c r="CS64" s="119"/>
      <c r="CT64" s="119"/>
      <c r="CU64" s="119"/>
      <c r="CV64" s="119"/>
      <c r="CW64" s="119"/>
      <c r="CX64" s="119"/>
      <c r="CY64" s="119"/>
      <c r="CZ64" s="119"/>
      <c r="DA64" s="119"/>
      <c r="DB64" s="119"/>
      <c r="DC64" s="119"/>
      <c r="DD64" s="119"/>
      <c r="DE64" s="119"/>
      <c r="DF64" s="119"/>
      <c r="DG64" s="119"/>
      <c r="DH64" s="119"/>
      <c r="DI64" s="119"/>
      <c r="DJ64" s="119"/>
      <c r="DK64" s="119"/>
      <c r="DL64" s="119"/>
      <c r="DM64" s="119"/>
      <c r="DN64" s="119"/>
      <c r="DO64" s="119"/>
      <c r="DP64" s="119"/>
      <c r="DQ64" s="119"/>
      <c r="DR64" s="119"/>
      <c r="DS64" s="119"/>
      <c r="DT64" s="119"/>
      <c r="DU64" s="119"/>
      <c r="DV64" s="119"/>
      <c r="DW64" s="119"/>
      <c r="DX64" s="119"/>
      <c r="DY64" s="119"/>
      <c r="DZ64" s="119"/>
      <c r="EA64" s="119"/>
      <c r="EB64" s="119"/>
      <c r="EC64" s="119"/>
      <c r="ED64" s="119"/>
      <c r="EE64" s="119"/>
      <c r="EF64" s="119"/>
      <c r="EG64" s="119"/>
      <c r="EH64" s="119"/>
      <c r="EI64" s="119"/>
      <c r="EJ64" s="119"/>
      <c r="EK64" s="119"/>
      <c r="EL64" s="119"/>
      <c r="EM64" s="119"/>
      <c r="EN64" s="119"/>
      <c r="EO64" s="119"/>
      <c r="EP64" s="119"/>
      <c r="EQ64" s="119"/>
      <c r="ER64" s="119"/>
      <c r="ES64" s="119"/>
      <c r="ET64" s="119"/>
      <c r="EU64" s="119"/>
      <c r="EV64" s="119"/>
      <c r="EW64" s="119"/>
      <c r="EX64" s="119"/>
      <c r="EY64" s="119"/>
      <c r="EZ64" s="119"/>
      <c r="FA64" s="119"/>
      <c r="FB64" s="119"/>
      <c r="FC64" s="119"/>
      <c r="FD64" s="119"/>
      <c r="FE64" s="119"/>
      <c r="FF64" s="119"/>
      <c r="FG64" s="119"/>
      <c r="FH64" s="119"/>
      <c r="FI64" s="119"/>
      <c r="FJ64" s="119"/>
      <c r="FK64" s="119"/>
      <c r="FL64" s="119"/>
      <c r="FM64" s="119"/>
      <c r="FN64" s="119"/>
      <c r="FO64" s="119"/>
      <c r="FP64" s="119"/>
      <c r="FQ64" s="119"/>
      <c r="FR64" s="119"/>
      <c r="FS64" s="119"/>
      <c r="FT64" s="119"/>
      <c r="FU64" s="119"/>
      <c r="FV64" s="119"/>
      <c r="FW64" s="119"/>
      <c r="FX64" s="119"/>
      <c r="FY64" s="119"/>
      <c r="FZ64" s="119"/>
      <c r="GA64" s="119"/>
      <c r="GB64" s="119"/>
      <c r="GC64" s="119"/>
      <c r="GD64" s="119"/>
      <c r="GE64" s="119"/>
      <c r="GF64" s="119"/>
      <c r="GG64" s="119"/>
      <c r="GH64" s="119"/>
      <c r="GI64" s="119"/>
      <c r="GJ64" s="119"/>
      <c r="GK64" s="119"/>
      <c r="GL64" s="119"/>
      <c r="GM64" s="119"/>
      <c r="GN64" s="119"/>
      <c r="GO64" s="119"/>
      <c r="GP64" s="119"/>
      <c r="GQ64" s="119"/>
      <c r="GR64" s="119"/>
      <c r="GS64" s="119"/>
      <c r="GT64" s="119"/>
      <c r="GU64" s="119"/>
      <c r="GV64" s="119"/>
      <c r="GW64" s="119"/>
      <c r="GX64" s="119"/>
      <c r="GY64" s="119"/>
      <c r="GZ64" s="119"/>
      <c r="HA64" s="119"/>
      <c r="HB64" s="119"/>
      <c r="HC64" s="119"/>
      <c r="HD64" s="119"/>
      <c r="HE64" s="119"/>
      <c r="HF64" s="119"/>
      <c r="HG64" s="119"/>
      <c r="HH64" s="119"/>
      <c r="HI64" s="119"/>
      <c r="HJ64" s="119"/>
      <c r="HK64" s="119"/>
      <c r="HL64" s="119"/>
      <c r="HM64" s="119"/>
      <c r="HN64" s="119"/>
      <c r="HO64" s="119"/>
      <c r="HP64" s="119"/>
      <c r="HQ64" s="119"/>
      <c r="HR64" s="119"/>
      <c r="HS64" s="119"/>
      <c r="HT64" s="119"/>
      <c r="HU64" s="119"/>
      <c r="HV64" s="119"/>
      <c r="HW64" s="119"/>
      <c r="HX64" s="119"/>
      <c r="HY64" s="119"/>
      <c r="HZ64" s="119"/>
      <c r="IA64" s="119"/>
      <c r="IB64" s="119"/>
      <c r="IC64" s="119"/>
      <c r="ID64" s="119"/>
      <c r="IE64" s="119"/>
      <c r="IF64" s="119"/>
      <c r="IG64" s="119"/>
      <c r="IH64" s="119"/>
      <c r="II64" s="119"/>
      <c r="IJ64" s="119"/>
      <c r="IK64" s="119"/>
      <c r="IL64" s="119"/>
      <c r="IM64" s="119"/>
      <c r="IN64" s="119"/>
      <c r="IO64" s="119"/>
      <c r="IP64" s="119"/>
      <c r="IQ64" s="119"/>
      <c r="IR64" s="119"/>
      <c r="IS64" s="119"/>
      <c r="IT64" s="119"/>
      <c r="IU64" s="119"/>
      <c r="IV64" s="119"/>
      <c r="IW64" s="119"/>
    </row>
    <row r="65" spans="1:257" s="187" customFormat="1" ht="18" customHeight="1" x14ac:dyDescent="0.35">
      <c r="A65" s="195">
        <v>56</v>
      </c>
      <c r="B65" s="575"/>
      <c r="C65" s="548"/>
      <c r="D65" s="1266" t="s">
        <v>862</v>
      </c>
      <c r="E65" s="238"/>
      <c r="F65" s="238"/>
      <c r="G65" s="576"/>
      <c r="H65" s="240"/>
      <c r="I65" s="1270">
        <f t="shared" ref="I65:J65" si="16">SUM(I63:I64)</f>
        <v>50</v>
      </c>
      <c r="J65" s="1270">
        <f t="shared" si="16"/>
        <v>20</v>
      </c>
      <c r="K65" s="1270">
        <f>SUM(K63:K64)</f>
        <v>18330</v>
      </c>
      <c r="L65" s="1270"/>
      <c r="M65" s="1270"/>
      <c r="N65" s="1271"/>
      <c r="O65" s="576"/>
      <c r="P65" s="1275">
        <f t="shared" si="15"/>
        <v>18400</v>
      </c>
      <c r="Q65" s="1246"/>
      <c r="R65" s="119"/>
      <c r="S65" s="119"/>
      <c r="T65" s="119"/>
      <c r="U65" s="119"/>
      <c r="V65" s="119"/>
      <c r="W65" s="119"/>
      <c r="X65" s="119"/>
      <c r="Y65" s="119"/>
      <c r="Z65" s="119"/>
      <c r="AA65" s="119"/>
      <c r="AB65" s="119"/>
      <c r="AC65" s="119"/>
      <c r="AD65" s="119"/>
      <c r="AE65" s="119"/>
      <c r="AF65" s="119"/>
      <c r="AG65" s="119"/>
      <c r="AH65" s="119"/>
      <c r="AI65" s="119"/>
      <c r="AJ65" s="119"/>
      <c r="AK65" s="119"/>
      <c r="AL65" s="119"/>
      <c r="AM65" s="119"/>
      <c r="AN65" s="119"/>
      <c r="AO65" s="119"/>
      <c r="AP65" s="119"/>
      <c r="AQ65" s="119"/>
      <c r="AR65" s="119"/>
      <c r="AS65" s="119"/>
      <c r="AT65" s="119"/>
      <c r="AU65" s="119"/>
      <c r="AV65" s="119"/>
      <c r="AW65" s="119"/>
      <c r="AX65" s="119"/>
      <c r="AY65" s="119"/>
      <c r="AZ65" s="119"/>
      <c r="BA65" s="119"/>
      <c r="BB65" s="119"/>
      <c r="BC65" s="119"/>
      <c r="BD65" s="119"/>
      <c r="BE65" s="119"/>
      <c r="BF65" s="119"/>
      <c r="BG65" s="119"/>
      <c r="BH65" s="119"/>
      <c r="BI65" s="119"/>
      <c r="BJ65" s="119"/>
      <c r="BK65" s="119"/>
      <c r="BL65" s="119"/>
      <c r="BM65" s="119"/>
      <c r="BN65" s="119"/>
      <c r="BO65" s="119"/>
      <c r="BP65" s="119"/>
      <c r="BQ65" s="119"/>
      <c r="BR65" s="119"/>
      <c r="BS65" s="119"/>
      <c r="BT65" s="119"/>
      <c r="BU65" s="119"/>
      <c r="BV65" s="119"/>
      <c r="BW65" s="119"/>
      <c r="BX65" s="119"/>
      <c r="BY65" s="119"/>
      <c r="BZ65" s="119"/>
      <c r="CA65" s="119"/>
      <c r="CB65" s="119"/>
      <c r="CC65" s="119"/>
      <c r="CD65" s="119"/>
      <c r="CE65" s="119"/>
      <c r="CF65" s="119"/>
      <c r="CG65" s="119"/>
      <c r="CH65" s="119"/>
      <c r="CI65" s="119"/>
      <c r="CJ65" s="119"/>
      <c r="CK65" s="119"/>
      <c r="CL65" s="119"/>
      <c r="CM65" s="119"/>
      <c r="CN65" s="119"/>
      <c r="CO65" s="119"/>
      <c r="CP65" s="119"/>
      <c r="CQ65" s="119"/>
      <c r="CR65" s="119"/>
      <c r="CS65" s="119"/>
      <c r="CT65" s="119"/>
      <c r="CU65" s="119"/>
      <c r="CV65" s="119"/>
      <c r="CW65" s="119"/>
      <c r="CX65" s="119"/>
      <c r="CY65" s="119"/>
      <c r="CZ65" s="119"/>
      <c r="DA65" s="119"/>
      <c r="DB65" s="119"/>
      <c r="DC65" s="119"/>
      <c r="DD65" s="119"/>
      <c r="DE65" s="119"/>
      <c r="DF65" s="119"/>
      <c r="DG65" s="119"/>
      <c r="DH65" s="119"/>
      <c r="DI65" s="119"/>
      <c r="DJ65" s="119"/>
      <c r="DK65" s="119"/>
      <c r="DL65" s="119"/>
      <c r="DM65" s="119"/>
      <c r="DN65" s="119"/>
      <c r="DO65" s="119"/>
      <c r="DP65" s="119"/>
      <c r="DQ65" s="119"/>
      <c r="DR65" s="119"/>
      <c r="DS65" s="119"/>
      <c r="DT65" s="119"/>
      <c r="DU65" s="119"/>
      <c r="DV65" s="119"/>
      <c r="DW65" s="119"/>
      <c r="DX65" s="119"/>
      <c r="DY65" s="119"/>
      <c r="DZ65" s="119"/>
      <c r="EA65" s="119"/>
      <c r="EB65" s="119"/>
      <c r="EC65" s="119"/>
      <c r="ED65" s="119"/>
      <c r="EE65" s="119"/>
      <c r="EF65" s="119"/>
      <c r="EG65" s="119"/>
      <c r="EH65" s="119"/>
      <c r="EI65" s="119"/>
      <c r="EJ65" s="119"/>
      <c r="EK65" s="119"/>
      <c r="EL65" s="119"/>
      <c r="EM65" s="119"/>
      <c r="EN65" s="119"/>
      <c r="EO65" s="119"/>
      <c r="EP65" s="119"/>
      <c r="EQ65" s="119"/>
      <c r="ER65" s="119"/>
      <c r="ES65" s="119"/>
      <c r="ET65" s="119"/>
      <c r="EU65" s="119"/>
      <c r="EV65" s="119"/>
      <c r="EW65" s="119"/>
      <c r="EX65" s="119"/>
      <c r="EY65" s="119"/>
      <c r="EZ65" s="119"/>
      <c r="FA65" s="119"/>
      <c r="FB65" s="119"/>
      <c r="FC65" s="119"/>
      <c r="FD65" s="119"/>
      <c r="FE65" s="119"/>
      <c r="FF65" s="119"/>
      <c r="FG65" s="119"/>
      <c r="FH65" s="119"/>
      <c r="FI65" s="119"/>
      <c r="FJ65" s="119"/>
      <c r="FK65" s="119"/>
      <c r="FL65" s="119"/>
      <c r="FM65" s="119"/>
      <c r="FN65" s="119"/>
      <c r="FO65" s="119"/>
      <c r="FP65" s="119"/>
      <c r="FQ65" s="119"/>
      <c r="FR65" s="119"/>
      <c r="FS65" s="119"/>
      <c r="FT65" s="119"/>
      <c r="FU65" s="119"/>
      <c r="FV65" s="119"/>
      <c r="FW65" s="119"/>
      <c r="FX65" s="119"/>
      <c r="FY65" s="119"/>
      <c r="FZ65" s="119"/>
      <c r="GA65" s="119"/>
      <c r="GB65" s="119"/>
      <c r="GC65" s="119"/>
      <c r="GD65" s="119"/>
      <c r="GE65" s="119"/>
      <c r="GF65" s="119"/>
      <c r="GG65" s="119"/>
      <c r="GH65" s="119"/>
      <c r="GI65" s="119"/>
      <c r="GJ65" s="119"/>
      <c r="GK65" s="119"/>
      <c r="GL65" s="119"/>
      <c r="GM65" s="119"/>
      <c r="GN65" s="119"/>
      <c r="GO65" s="119"/>
      <c r="GP65" s="119"/>
      <c r="GQ65" s="119"/>
      <c r="GR65" s="119"/>
      <c r="GS65" s="119"/>
      <c r="GT65" s="119"/>
      <c r="GU65" s="119"/>
      <c r="GV65" s="119"/>
      <c r="GW65" s="119"/>
      <c r="GX65" s="119"/>
      <c r="GY65" s="119"/>
      <c r="GZ65" s="119"/>
      <c r="HA65" s="119"/>
      <c r="HB65" s="119"/>
      <c r="HC65" s="119"/>
      <c r="HD65" s="119"/>
      <c r="HE65" s="119"/>
      <c r="HF65" s="119"/>
      <c r="HG65" s="119"/>
      <c r="HH65" s="119"/>
      <c r="HI65" s="119"/>
      <c r="HJ65" s="119"/>
      <c r="HK65" s="119"/>
      <c r="HL65" s="119"/>
      <c r="HM65" s="119"/>
      <c r="HN65" s="119"/>
      <c r="HO65" s="119"/>
      <c r="HP65" s="119"/>
      <c r="HQ65" s="119"/>
      <c r="HR65" s="119"/>
      <c r="HS65" s="119"/>
      <c r="HT65" s="119"/>
      <c r="HU65" s="119"/>
      <c r="HV65" s="119"/>
      <c r="HW65" s="119"/>
      <c r="HX65" s="119"/>
      <c r="HY65" s="119"/>
      <c r="HZ65" s="119"/>
      <c r="IA65" s="119"/>
      <c r="IB65" s="119"/>
      <c r="IC65" s="119"/>
      <c r="ID65" s="119"/>
      <c r="IE65" s="119"/>
      <c r="IF65" s="119"/>
      <c r="IG65" s="119"/>
      <c r="IH65" s="119"/>
      <c r="II65" s="119"/>
      <c r="IJ65" s="119"/>
      <c r="IK65" s="119"/>
      <c r="IL65" s="119"/>
      <c r="IM65" s="119"/>
      <c r="IN65" s="119"/>
      <c r="IO65" s="119"/>
      <c r="IP65" s="119"/>
      <c r="IQ65" s="119"/>
      <c r="IR65" s="119"/>
      <c r="IS65" s="119"/>
      <c r="IT65" s="119"/>
      <c r="IU65" s="119"/>
      <c r="IV65" s="119"/>
      <c r="IW65" s="119"/>
    </row>
    <row r="66" spans="1:257" s="187" customFormat="1" ht="22.5" customHeight="1" x14ac:dyDescent="0.35">
      <c r="A66" s="195">
        <v>57</v>
      </c>
      <c r="B66" s="575"/>
      <c r="C66" s="871">
        <v>28</v>
      </c>
      <c r="D66" s="194" t="s">
        <v>523</v>
      </c>
      <c r="E66" s="547">
        <f>F66+G66+P70+Q67</f>
        <v>650</v>
      </c>
      <c r="F66" s="238"/>
      <c r="G66" s="579"/>
      <c r="H66" s="578" t="s">
        <v>24</v>
      </c>
      <c r="I66" s="549"/>
      <c r="J66" s="549"/>
      <c r="K66" s="549"/>
      <c r="L66" s="549"/>
      <c r="M66" s="549"/>
      <c r="N66" s="577"/>
      <c r="O66" s="1782"/>
      <c r="P66" s="236"/>
      <c r="Q66" s="235"/>
      <c r="R66" s="119"/>
      <c r="S66" s="119"/>
      <c r="T66" s="119"/>
      <c r="U66" s="119"/>
      <c r="V66" s="119"/>
      <c r="W66" s="119"/>
      <c r="X66" s="119"/>
      <c r="Y66" s="119"/>
      <c r="Z66" s="119"/>
      <c r="AA66" s="119"/>
      <c r="AB66" s="119"/>
      <c r="AC66" s="119"/>
      <c r="AD66" s="119"/>
      <c r="AE66" s="119"/>
      <c r="AF66" s="119"/>
      <c r="AG66" s="119"/>
      <c r="AH66" s="119"/>
      <c r="AI66" s="119"/>
      <c r="AJ66" s="119"/>
      <c r="AK66" s="119"/>
      <c r="AL66" s="119"/>
      <c r="AM66" s="119"/>
      <c r="AN66" s="119"/>
      <c r="AO66" s="119"/>
      <c r="AP66" s="119"/>
      <c r="AQ66" s="119"/>
      <c r="AR66" s="119"/>
      <c r="AS66" s="119"/>
      <c r="AT66" s="119"/>
      <c r="AU66" s="119"/>
      <c r="AV66" s="119"/>
      <c r="AW66" s="119"/>
      <c r="AX66" s="119"/>
      <c r="AY66" s="119"/>
      <c r="AZ66" s="119"/>
      <c r="BA66" s="119"/>
      <c r="BB66" s="119"/>
      <c r="BC66" s="119"/>
      <c r="BD66" s="119"/>
      <c r="BE66" s="119"/>
      <c r="BF66" s="119"/>
      <c r="BG66" s="119"/>
      <c r="BH66" s="119"/>
      <c r="BI66" s="119"/>
      <c r="BJ66" s="119"/>
      <c r="BK66" s="119"/>
      <c r="BL66" s="119"/>
      <c r="BM66" s="119"/>
      <c r="BN66" s="119"/>
      <c r="BO66" s="119"/>
      <c r="BP66" s="119"/>
      <c r="BQ66" s="119"/>
      <c r="BR66" s="119"/>
      <c r="BS66" s="119"/>
      <c r="BT66" s="119"/>
      <c r="BU66" s="119"/>
      <c r="BV66" s="119"/>
      <c r="BW66" s="119"/>
      <c r="BX66" s="119"/>
      <c r="BY66" s="119"/>
      <c r="BZ66" s="119"/>
      <c r="CA66" s="119"/>
      <c r="CB66" s="119"/>
      <c r="CC66" s="119"/>
      <c r="CD66" s="119"/>
      <c r="CE66" s="119"/>
      <c r="CF66" s="119"/>
      <c r="CG66" s="119"/>
      <c r="CH66" s="119"/>
      <c r="CI66" s="119"/>
      <c r="CJ66" s="119"/>
      <c r="CK66" s="119"/>
      <c r="CL66" s="119"/>
      <c r="CM66" s="119"/>
      <c r="CN66" s="119"/>
      <c r="CO66" s="119"/>
      <c r="CP66" s="119"/>
      <c r="CQ66" s="119"/>
      <c r="CR66" s="119"/>
      <c r="CS66" s="119"/>
      <c r="CT66" s="119"/>
      <c r="CU66" s="119"/>
      <c r="CV66" s="119"/>
      <c r="CW66" s="119"/>
      <c r="CX66" s="119"/>
      <c r="CY66" s="119"/>
      <c r="CZ66" s="119"/>
      <c r="DA66" s="119"/>
      <c r="DB66" s="119"/>
      <c r="DC66" s="119"/>
      <c r="DD66" s="119"/>
      <c r="DE66" s="119"/>
      <c r="DF66" s="119"/>
      <c r="DG66" s="119"/>
      <c r="DH66" s="119"/>
      <c r="DI66" s="119"/>
      <c r="DJ66" s="119"/>
      <c r="DK66" s="119"/>
      <c r="DL66" s="119"/>
      <c r="DM66" s="119"/>
      <c r="DN66" s="119"/>
      <c r="DO66" s="119"/>
      <c r="DP66" s="119"/>
      <c r="DQ66" s="119"/>
      <c r="DR66" s="119"/>
      <c r="DS66" s="119"/>
      <c r="DT66" s="119"/>
      <c r="DU66" s="119"/>
      <c r="DV66" s="119"/>
      <c r="DW66" s="119"/>
      <c r="DX66" s="119"/>
      <c r="DY66" s="119"/>
      <c r="DZ66" s="119"/>
      <c r="EA66" s="119"/>
      <c r="EB66" s="119"/>
      <c r="EC66" s="119"/>
      <c r="ED66" s="119"/>
      <c r="EE66" s="119"/>
      <c r="EF66" s="119"/>
      <c r="EG66" s="119"/>
      <c r="EH66" s="119"/>
      <c r="EI66" s="119"/>
      <c r="EJ66" s="119"/>
      <c r="EK66" s="119"/>
      <c r="EL66" s="119"/>
      <c r="EM66" s="119"/>
      <c r="EN66" s="119"/>
      <c r="EO66" s="119"/>
      <c r="EP66" s="119"/>
      <c r="EQ66" s="119"/>
      <c r="ER66" s="119"/>
      <c r="ES66" s="119"/>
      <c r="ET66" s="119"/>
      <c r="EU66" s="119"/>
      <c r="EV66" s="119"/>
      <c r="EW66" s="119"/>
      <c r="EX66" s="119"/>
      <c r="EY66" s="119"/>
      <c r="EZ66" s="119"/>
      <c r="FA66" s="119"/>
      <c r="FB66" s="119"/>
      <c r="FC66" s="119"/>
      <c r="FD66" s="119"/>
      <c r="FE66" s="119"/>
      <c r="FF66" s="119"/>
      <c r="FG66" s="119"/>
      <c r="FH66" s="119"/>
      <c r="FI66" s="119"/>
      <c r="FJ66" s="119"/>
      <c r="FK66" s="119"/>
      <c r="FL66" s="119"/>
      <c r="FM66" s="119"/>
      <c r="FN66" s="119"/>
      <c r="FO66" s="119"/>
      <c r="FP66" s="119"/>
      <c r="FQ66" s="119"/>
      <c r="FR66" s="119"/>
      <c r="FS66" s="119"/>
      <c r="FT66" s="119"/>
      <c r="FU66" s="119"/>
      <c r="FV66" s="119"/>
      <c r="FW66" s="119"/>
      <c r="FX66" s="119"/>
      <c r="FY66" s="119"/>
      <c r="FZ66" s="119"/>
      <c r="GA66" s="119"/>
      <c r="GB66" s="119"/>
      <c r="GC66" s="119"/>
      <c r="GD66" s="119"/>
      <c r="GE66" s="119"/>
      <c r="GF66" s="119"/>
      <c r="GG66" s="119"/>
      <c r="GH66" s="119"/>
      <c r="GI66" s="119"/>
      <c r="GJ66" s="119"/>
      <c r="GK66" s="119"/>
      <c r="GL66" s="119"/>
      <c r="GM66" s="119"/>
      <c r="GN66" s="119"/>
      <c r="GO66" s="119"/>
      <c r="GP66" s="119"/>
      <c r="GQ66" s="119"/>
      <c r="GR66" s="119"/>
      <c r="GS66" s="119"/>
      <c r="GT66" s="119"/>
      <c r="GU66" s="119"/>
      <c r="GV66" s="119"/>
      <c r="GW66" s="119"/>
      <c r="GX66" s="119"/>
      <c r="GY66" s="119"/>
      <c r="GZ66" s="119"/>
      <c r="HA66" s="119"/>
      <c r="HB66" s="119"/>
      <c r="HC66" s="119"/>
      <c r="HD66" s="119"/>
      <c r="HE66" s="119"/>
      <c r="HF66" s="119"/>
      <c r="HG66" s="119"/>
      <c r="HH66" s="119"/>
      <c r="HI66" s="119"/>
      <c r="HJ66" s="119"/>
      <c r="HK66" s="119"/>
      <c r="HL66" s="119"/>
      <c r="HM66" s="119"/>
      <c r="HN66" s="119"/>
      <c r="HO66" s="119"/>
      <c r="HP66" s="119"/>
      <c r="HQ66" s="119"/>
      <c r="HR66" s="119"/>
      <c r="HS66" s="119"/>
      <c r="HT66" s="119"/>
      <c r="HU66" s="119"/>
      <c r="HV66" s="119"/>
      <c r="HW66" s="119"/>
      <c r="HX66" s="119"/>
      <c r="HY66" s="119"/>
      <c r="HZ66" s="119"/>
      <c r="IA66" s="119"/>
      <c r="IB66" s="119"/>
      <c r="IC66" s="119"/>
      <c r="ID66" s="119"/>
      <c r="IE66" s="119"/>
      <c r="IF66" s="119"/>
      <c r="IG66" s="119"/>
      <c r="IH66" s="119"/>
      <c r="II66" s="119"/>
      <c r="IJ66" s="119"/>
      <c r="IK66" s="119"/>
      <c r="IL66" s="119"/>
      <c r="IM66" s="119"/>
      <c r="IN66" s="119"/>
      <c r="IO66" s="119"/>
      <c r="IP66" s="119"/>
      <c r="IQ66" s="119"/>
      <c r="IR66" s="119"/>
      <c r="IS66" s="119"/>
      <c r="IT66" s="119"/>
      <c r="IU66" s="119"/>
      <c r="IV66" s="119"/>
      <c r="IW66" s="119"/>
    </row>
    <row r="67" spans="1:257" s="187" customFormat="1" ht="18" customHeight="1" x14ac:dyDescent="0.35">
      <c r="A67" s="195">
        <v>58</v>
      </c>
      <c r="B67" s="575"/>
      <c r="C67" s="548"/>
      <c r="D67" s="237" t="s">
        <v>245</v>
      </c>
      <c r="E67" s="238"/>
      <c r="F67" s="238"/>
      <c r="G67" s="576"/>
      <c r="H67" s="240"/>
      <c r="I67" s="549"/>
      <c r="J67" s="549"/>
      <c r="K67" s="549">
        <v>650</v>
      </c>
      <c r="L67" s="549"/>
      <c r="M67" s="549"/>
      <c r="N67" s="577"/>
      <c r="O67" s="1782"/>
      <c r="P67" s="236">
        <f>SUM(I67:N67)</f>
        <v>650</v>
      </c>
      <c r="Q67" s="580"/>
      <c r="R67" s="119"/>
      <c r="S67" s="119"/>
      <c r="T67" s="119"/>
      <c r="U67" s="119"/>
      <c r="V67" s="119"/>
      <c r="W67" s="119"/>
      <c r="X67" s="119"/>
      <c r="Y67" s="119"/>
      <c r="Z67" s="119"/>
      <c r="AA67" s="119"/>
      <c r="AB67" s="119"/>
      <c r="AC67" s="119"/>
      <c r="AD67" s="119"/>
      <c r="AE67" s="119"/>
      <c r="AF67" s="119"/>
      <c r="AG67" s="119"/>
      <c r="AH67" s="119"/>
      <c r="AI67" s="119"/>
      <c r="AJ67" s="119"/>
      <c r="AK67" s="119"/>
      <c r="AL67" s="119"/>
      <c r="AM67" s="119"/>
      <c r="AN67" s="119"/>
      <c r="AO67" s="119"/>
      <c r="AP67" s="119"/>
      <c r="AQ67" s="119"/>
      <c r="AR67" s="119"/>
      <c r="AS67" s="119"/>
      <c r="AT67" s="119"/>
      <c r="AU67" s="119"/>
      <c r="AV67" s="119"/>
      <c r="AW67" s="119"/>
      <c r="AX67" s="119"/>
      <c r="AY67" s="119"/>
      <c r="AZ67" s="119"/>
      <c r="BA67" s="119"/>
      <c r="BB67" s="119"/>
      <c r="BC67" s="119"/>
      <c r="BD67" s="119"/>
      <c r="BE67" s="119"/>
      <c r="BF67" s="119"/>
      <c r="BG67" s="119"/>
      <c r="BH67" s="119"/>
      <c r="BI67" s="119"/>
      <c r="BJ67" s="119"/>
      <c r="BK67" s="119"/>
      <c r="BL67" s="119"/>
      <c r="BM67" s="119"/>
      <c r="BN67" s="119"/>
      <c r="BO67" s="119"/>
      <c r="BP67" s="119"/>
      <c r="BQ67" s="119"/>
      <c r="BR67" s="119"/>
      <c r="BS67" s="119"/>
      <c r="BT67" s="119"/>
      <c r="BU67" s="119"/>
      <c r="BV67" s="119"/>
      <c r="BW67" s="119"/>
      <c r="BX67" s="119"/>
      <c r="BY67" s="119"/>
      <c r="BZ67" s="119"/>
      <c r="CA67" s="119"/>
      <c r="CB67" s="119"/>
      <c r="CC67" s="119"/>
      <c r="CD67" s="119"/>
      <c r="CE67" s="119"/>
      <c r="CF67" s="119"/>
      <c r="CG67" s="119"/>
      <c r="CH67" s="119"/>
      <c r="CI67" s="119"/>
      <c r="CJ67" s="119"/>
      <c r="CK67" s="119"/>
      <c r="CL67" s="119"/>
      <c r="CM67" s="119"/>
      <c r="CN67" s="119"/>
      <c r="CO67" s="119"/>
      <c r="CP67" s="119"/>
      <c r="CQ67" s="119"/>
      <c r="CR67" s="119"/>
      <c r="CS67" s="119"/>
      <c r="CT67" s="119"/>
      <c r="CU67" s="119"/>
      <c r="CV67" s="119"/>
      <c r="CW67" s="119"/>
      <c r="CX67" s="119"/>
      <c r="CY67" s="119"/>
      <c r="CZ67" s="119"/>
      <c r="DA67" s="119"/>
      <c r="DB67" s="119"/>
      <c r="DC67" s="119"/>
      <c r="DD67" s="119"/>
      <c r="DE67" s="119"/>
      <c r="DF67" s="119"/>
      <c r="DG67" s="119"/>
      <c r="DH67" s="119"/>
      <c r="DI67" s="119"/>
      <c r="DJ67" s="119"/>
      <c r="DK67" s="119"/>
      <c r="DL67" s="119"/>
      <c r="DM67" s="119"/>
      <c r="DN67" s="119"/>
      <c r="DO67" s="119"/>
      <c r="DP67" s="119"/>
      <c r="DQ67" s="119"/>
      <c r="DR67" s="119"/>
      <c r="DS67" s="119"/>
      <c r="DT67" s="119"/>
      <c r="DU67" s="119"/>
      <c r="DV67" s="119"/>
      <c r="DW67" s="119"/>
      <c r="DX67" s="119"/>
      <c r="DY67" s="119"/>
      <c r="DZ67" s="119"/>
      <c r="EA67" s="119"/>
      <c r="EB67" s="119"/>
      <c r="EC67" s="119"/>
      <c r="ED67" s="119"/>
      <c r="EE67" s="119"/>
      <c r="EF67" s="119"/>
      <c r="EG67" s="119"/>
      <c r="EH67" s="119"/>
      <c r="EI67" s="119"/>
      <c r="EJ67" s="119"/>
      <c r="EK67" s="119"/>
      <c r="EL67" s="119"/>
      <c r="EM67" s="119"/>
      <c r="EN67" s="119"/>
      <c r="EO67" s="119"/>
      <c r="EP67" s="119"/>
      <c r="EQ67" s="119"/>
      <c r="ER67" s="119"/>
      <c r="ES67" s="119"/>
      <c r="ET67" s="119"/>
      <c r="EU67" s="119"/>
      <c r="EV67" s="119"/>
      <c r="EW67" s="119"/>
      <c r="EX67" s="119"/>
      <c r="EY67" s="119"/>
      <c r="EZ67" s="119"/>
      <c r="FA67" s="119"/>
      <c r="FB67" s="119"/>
      <c r="FC67" s="119"/>
      <c r="FD67" s="119"/>
      <c r="FE67" s="119"/>
      <c r="FF67" s="119"/>
      <c r="FG67" s="119"/>
      <c r="FH67" s="119"/>
      <c r="FI67" s="119"/>
      <c r="FJ67" s="119"/>
      <c r="FK67" s="119"/>
      <c r="FL67" s="119"/>
      <c r="FM67" s="119"/>
      <c r="FN67" s="119"/>
      <c r="FO67" s="119"/>
      <c r="FP67" s="119"/>
      <c r="FQ67" s="119"/>
      <c r="FR67" s="119"/>
      <c r="FS67" s="119"/>
      <c r="FT67" s="119"/>
      <c r="FU67" s="119"/>
      <c r="FV67" s="119"/>
      <c r="FW67" s="119"/>
      <c r="FX67" s="119"/>
      <c r="FY67" s="119"/>
      <c r="FZ67" s="119"/>
      <c r="GA67" s="119"/>
      <c r="GB67" s="119"/>
      <c r="GC67" s="119"/>
      <c r="GD67" s="119"/>
      <c r="GE67" s="119"/>
      <c r="GF67" s="119"/>
      <c r="GG67" s="119"/>
      <c r="GH67" s="119"/>
      <c r="GI67" s="119"/>
      <c r="GJ67" s="119"/>
      <c r="GK67" s="119"/>
      <c r="GL67" s="119"/>
      <c r="GM67" s="119"/>
      <c r="GN67" s="119"/>
      <c r="GO67" s="119"/>
      <c r="GP67" s="119"/>
      <c r="GQ67" s="119"/>
      <c r="GR67" s="119"/>
      <c r="GS67" s="119"/>
      <c r="GT67" s="119"/>
      <c r="GU67" s="119"/>
      <c r="GV67" s="119"/>
      <c r="GW67" s="119"/>
      <c r="GX67" s="119"/>
      <c r="GY67" s="119"/>
      <c r="GZ67" s="119"/>
      <c r="HA67" s="119"/>
      <c r="HB67" s="119"/>
      <c r="HC67" s="119"/>
      <c r="HD67" s="119"/>
      <c r="HE67" s="119"/>
      <c r="HF67" s="119"/>
      <c r="HG67" s="119"/>
      <c r="HH67" s="119"/>
      <c r="HI67" s="119"/>
      <c r="HJ67" s="119"/>
      <c r="HK67" s="119"/>
      <c r="HL67" s="119"/>
      <c r="HM67" s="119"/>
      <c r="HN67" s="119"/>
      <c r="HO67" s="119"/>
      <c r="HP67" s="119"/>
      <c r="HQ67" s="119"/>
      <c r="HR67" s="119"/>
      <c r="HS67" s="119"/>
      <c r="HT67" s="119"/>
      <c r="HU67" s="119"/>
      <c r="HV67" s="119"/>
      <c r="HW67" s="119"/>
      <c r="HX67" s="119"/>
      <c r="HY67" s="119"/>
      <c r="HZ67" s="119"/>
      <c r="IA67" s="119"/>
      <c r="IB67" s="119"/>
      <c r="IC67" s="119"/>
      <c r="ID67" s="119"/>
      <c r="IE67" s="119"/>
      <c r="IF67" s="119"/>
      <c r="IG67" s="119"/>
      <c r="IH67" s="119"/>
      <c r="II67" s="119"/>
      <c r="IJ67" s="119"/>
      <c r="IK67" s="119"/>
      <c r="IL67" s="119"/>
      <c r="IM67" s="119"/>
      <c r="IN67" s="119"/>
      <c r="IO67" s="119"/>
      <c r="IP67" s="119"/>
      <c r="IQ67" s="119"/>
      <c r="IR67" s="119"/>
      <c r="IS67" s="119"/>
      <c r="IT67" s="119"/>
      <c r="IU67" s="119"/>
      <c r="IV67" s="119"/>
      <c r="IW67" s="119"/>
    </row>
    <row r="68" spans="1:257" s="187" customFormat="1" ht="18" customHeight="1" x14ac:dyDescent="0.35">
      <c r="A68" s="195">
        <v>59</v>
      </c>
      <c r="B68" s="575"/>
      <c r="C68" s="548"/>
      <c r="D68" s="1266" t="s">
        <v>808</v>
      </c>
      <c r="E68" s="238"/>
      <c r="F68" s="238"/>
      <c r="G68" s="576"/>
      <c r="H68" s="240"/>
      <c r="I68" s="549"/>
      <c r="J68" s="549"/>
      <c r="K68" s="1270">
        <v>650</v>
      </c>
      <c r="L68" s="1270"/>
      <c r="M68" s="1270"/>
      <c r="N68" s="1271"/>
      <c r="O68" s="576"/>
      <c r="P68" s="1275">
        <f>SUM(I68:N68)</f>
        <v>650</v>
      </c>
      <c r="Q68" s="1246"/>
      <c r="R68" s="119"/>
      <c r="S68" s="119"/>
      <c r="T68" s="119"/>
      <c r="U68" s="119"/>
      <c r="V68" s="119"/>
      <c r="W68" s="119"/>
      <c r="X68" s="119"/>
      <c r="Y68" s="119"/>
      <c r="Z68" s="119"/>
      <c r="AA68" s="119"/>
      <c r="AB68" s="119"/>
      <c r="AC68" s="119"/>
      <c r="AD68" s="119"/>
      <c r="AE68" s="119"/>
      <c r="AF68" s="119"/>
      <c r="AG68" s="119"/>
      <c r="AH68" s="119"/>
      <c r="AI68" s="119"/>
      <c r="AJ68" s="119"/>
      <c r="AK68" s="119"/>
      <c r="AL68" s="119"/>
      <c r="AM68" s="119"/>
      <c r="AN68" s="119"/>
      <c r="AO68" s="119"/>
      <c r="AP68" s="119"/>
      <c r="AQ68" s="119"/>
      <c r="AR68" s="119"/>
      <c r="AS68" s="119"/>
      <c r="AT68" s="119"/>
      <c r="AU68" s="119"/>
      <c r="AV68" s="119"/>
      <c r="AW68" s="119"/>
      <c r="AX68" s="119"/>
      <c r="AY68" s="119"/>
      <c r="AZ68" s="119"/>
      <c r="BA68" s="119"/>
      <c r="BB68" s="119"/>
      <c r="BC68" s="119"/>
      <c r="BD68" s="119"/>
      <c r="BE68" s="119"/>
      <c r="BF68" s="119"/>
      <c r="BG68" s="119"/>
      <c r="BH68" s="119"/>
      <c r="BI68" s="119"/>
      <c r="BJ68" s="119"/>
      <c r="BK68" s="119"/>
      <c r="BL68" s="119"/>
      <c r="BM68" s="119"/>
      <c r="BN68" s="119"/>
      <c r="BO68" s="119"/>
      <c r="BP68" s="119"/>
      <c r="BQ68" s="119"/>
      <c r="BR68" s="119"/>
      <c r="BS68" s="119"/>
      <c r="BT68" s="119"/>
      <c r="BU68" s="119"/>
      <c r="BV68" s="119"/>
      <c r="BW68" s="119"/>
      <c r="BX68" s="119"/>
      <c r="BY68" s="119"/>
      <c r="BZ68" s="119"/>
      <c r="CA68" s="119"/>
      <c r="CB68" s="119"/>
      <c r="CC68" s="119"/>
      <c r="CD68" s="119"/>
      <c r="CE68" s="119"/>
      <c r="CF68" s="119"/>
      <c r="CG68" s="119"/>
      <c r="CH68" s="119"/>
      <c r="CI68" s="119"/>
      <c r="CJ68" s="119"/>
      <c r="CK68" s="119"/>
      <c r="CL68" s="119"/>
      <c r="CM68" s="119"/>
      <c r="CN68" s="119"/>
      <c r="CO68" s="119"/>
      <c r="CP68" s="119"/>
      <c r="CQ68" s="119"/>
      <c r="CR68" s="119"/>
      <c r="CS68" s="119"/>
      <c r="CT68" s="119"/>
      <c r="CU68" s="119"/>
      <c r="CV68" s="119"/>
      <c r="CW68" s="119"/>
      <c r="CX68" s="119"/>
      <c r="CY68" s="119"/>
      <c r="CZ68" s="119"/>
      <c r="DA68" s="119"/>
      <c r="DB68" s="119"/>
      <c r="DC68" s="119"/>
      <c r="DD68" s="119"/>
      <c r="DE68" s="119"/>
      <c r="DF68" s="119"/>
      <c r="DG68" s="119"/>
      <c r="DH68" s="119"/>
      <c r="DI68" s="119"/>
      <c r="DJ68" s="119"/>
      <c r="DK68" s="119"/>
      <c r="DL68" s="119"/>
      <c r="DM68" s="119"/>
      <c r="DN68" s="119"/>
      <c r="DO68" s="119"/>
      <c r="DP68" s="119"/>
      <c r="DQ68" s="119"/>
      <c r="DR68" s="119"/>
      <c r="DS68" s="119"/>
      <c r="DT68" s="119"/>
      <c r="DU68" s="119"/>
      <c r="DV68" s="119"/>
      <c r="DW68" s="119"/>
      <c r="DX68" s="119"/>
      <c r="DY68" s="119"/>
      <c r="DZ68" s="119"/>
      <c r="EA68" s="119"/>
      <c r="EB68" s="119"/>
      <c r="EC68" s="119"/>
      <c r="ED68" s="119"/>
      <c r="EE68" s="119"/>
      <c r="EF68" s="119"/>
      <c r="EG68" s="119"/>
      <c r="EH68" s="119"/>
      <c r="EI68" s="119"/>
      <c r="EJ68" s="119"/>
      <c r="EK68" s="119"/>
      <c r="EL68" s="119"/>
      <c r="EM68" s="119"/>
      <c r="EN68" s="119"/>
      <c r="EO68" s="119"/>
      <c r="EP68" s="119"/>
      <c r="EQ68" s="119"/>
      <c r="ER68" s="119"/>
      <c r="ES68" s="119"/>
      <c r="ET68" s="119"/>
      <c r="EU68" s="119"/>
      <c r="EV68" s="119"/>
      <c r="EW68" s="119"/>
      <c r="EX68" s="119"/>
      <c r="EY68" s="119"/>
      <c r="EZ68" s="119"/>
      <c r="FA68" s="119"/>
      <c r="FB68" s="119"/>
      <c r="FC68" s="119"/>
      <c r="FD68" s="119"/>
      <c r="FE68" s="119"/>
      <c r="FF68" s="119"/>
      <c r="FG68" s="119"/>
      <c r="FH68" s="119"/>
      <c r="FI68" s="119"/>
      <c r="FJ68" s="119"/>
      <c r="FK68" s="119"/>
      <c r="FL68" s="119"/>
      <c r="FM68" s="119"/>
      <c r="FN68" s="119"/>
      <c r="FO68" s="119"/>
      <c r="FP68" s="119"/>
      <c r="FQ68" s="119"/>
      <c r="FR68" s="119"/>
      <c r="FS68" s="119"/>
      <c r="FT68" s="119"/>
      <c r="FU68" s="119"/>
      <c r="FV68" s="119"/>
      <c r="FW68" s="119"/>
      <c r="FX68" s="119"/>
      <c r="FY68" s="119"/>
      <c r="FZ68" s="119"/>
      <c r="GA68" s="119"/>
      <c r="GB68" s="119"/>
      <c r="GC68" s="119"/>
      <c r="GD68" s="119"/>
      <c r="GE68" s="119"/>
      <c r="GF68" s="119"/>
      <c r="GG68" s="119"/>
      <c r="GH68" s="119"/>
      <c r="GI68" s="119"/>
      <c r="GJ68" s="119"/>
      <c r="GK68" s="119"/>
      <c r="GL68" s="119"/>
      <c r="GM68" s="119"/>
      <c r="GN68" s="119"/>
      <c r="GO68" s="119"/>
      <c r="GP68" s="119"/>
      <c r="GQ68" s="119"/>
      <c r="GR68" s="119"/>
      <c r="GS68" s="119"/>
      <c r="GT68" s="119"/>
      <c r="GU68" s="119"/>
      <c r="GV68" s="119"/>
      <c r="GW68" s="119"/>
      <c r="GX68" s="119"/>
      <c r="GY68" s="119"/>
      <c r="GZ68" s="119"/>
      <c r="HA68" s="119"/>
      <c r="HB68" s="119"/>
      <c r="HC68" s="119"/>
      <c r="HD68" s="119"/>
      <c r="HE68" s="119"/>
      <c r="HF68" s="119"/>
      <c r="HG68" s="119"/>
      <c r="HH68" s="119"/>
      <c r="HI68" s="119"/>
      <c r="HJ68" s="119"/>
      <c r="HK68" s="119"/>
      <c r="HL68" s="119"/>
      <c r="HM68" s="119"/>
      <c r="HN68" s="119"/>
      <c r="HO68" s="119"/>
      <c r="HP68" s="119"/>
      <c r="HQ68" s="119"/>
      <c r="HR68" s="119"/>
      <c r="HS68" s="119"/>
      <c r="HT68" s="119"/>
      <c r="HU68" s="119"/>
      <c r="HV68" s="119"/>
      <c r="HW68" s="119"/>
      <c r="HX68" s="119"/>
      <c r="HY68" s="119"/>
      <c r="HZ68" s="119"/>
      <c r="IA68" s="119"/>
      <c r="IB68" s="119"/>
      <c r="IC68" s="119"/>
      <c r="ID68" s="119"/>
      <c r="IE68" s="119"/>
      <c r="IF68" s="119"/>
      <c r="IG68" s="119"/>
      <c r="IH68" s="119"/>
      <c r="II68" s="119"/>
      <c r="IJ68" s="119"/>
      <c r="IK68" s="119"/>
      <c r="IL68" s="119"/>
      <c r="IM68" s="119"/>
      <c r="IN68" s="119"/>
      <c r="IO68" s="119"/>
      <c r="IP68" s="119"/>
      <c r="IQ68" s="119"/>
      <c r="IR68" s="119"/>
      <c r="IS68" s="119"/>
      <c r="IT68" s="119"/>
      <c r="IU68" s="119"/>
      <c r="IV68" s="119"/>
      <c r="IW68" s="119"/>
    </row>
    <row r="69" spans="1:257" s="187" customFormat="1" ht="18" customHeight="1" x14ac:dyDescent="0.35">
      <c r="A69" s="195">
        <v>60</v>
      </c>
      <c r="B69" s="575"/>
      <c r="C69" s="548"/>
      <c r="D69" s="1265" t="s">
        <v>656</v>
      </c>
      <c r="E69" s="238"/>
      <c r="F69" s="238"/>
      <c r="G69" s="576"/>
      <c r="H69" s="240"/>
      <c r="I69" s="1273"/>
      <c r="J69" s="1273"/>
      <c r="K69" s="1273"/>
      <c r="L69" s="1273"/>
      <c r="M69" s="1273"/>
      <c r="N69" s="1273"/>
      <c r="O69" s="1781"/>
      <c r="P69" s="1276">
        <f t="shared" ref="P69:P70" si="17">SUM(I69:N69)</f>
        <v>0</v>
      </c>
      <c r="Q69" s="1246"/>
      <c r="R69" s="119"/>
      <c r="S69" s="119"/>
      <c r="T69" s="119"/>
      <c r="U69" s="119"/>
      <c r="V69" s="119"/>
      <c r="W69" s="119"/>
      <c r="X69" s="119"/>
      <c r="Y69" s="119"/>
      <c r="Z69" s="119"/>
      <c r="AA69" s="119"/>
      <c r="AB69" s="119"/>
      <c r="AC69" s="119"/>
      <c r="AD69" s="119"/>
      <c r="AE69" s="119"/>
      <c r="AF69" s="119"/>
      <c r="AG69" s="119"/>
      <c r="AH69" s="119"/>
      <c r="AI69" s="119"/>
      <c r="AJ69" s="119"/>
      <c r="AK69" s="119"/>
      <c r="AL69" s="119"/>
      <c r="AM69" s="119"/>
      <c r="AN69" s="119"/>
      <c r="AO69" s="119"/>
      <c r="AP69" s="119"/>
      <c r="AQ69" s="119"/>
      <c r="AR69" s="119"/>
      <c r="AS69" s="119"/>
      <c r="AT69" s="119"/>
      <c r="AU69" s="119"/>
      <c r="AV69" s="119"/>
      <c r="AW69" s="119"/>
      <c r="AX69" s="119"/>
      <c r="AY69" s="119"/>
      <c r="AZ69" s="119"/>
      <c r="BA69" s="119"/>
      <c r="BB69" s="119"/>
      <c r="BC69" s="119"/>
      <c r="BD69" s="119"/>
      <c r="BE69" s="119"/>
      <c r="BF69" s="119"/>
      <c r="BG69" s="119"/>
      <c r="BH69" s="119"/>
      <c r="BI69" s="119"/>
      <c r="BJ69" s="119"/>
      <c r="BK69" s="119"/>
      <c r="BL69" s="119"/>
      <c r="BM69" s="119"/>
      <c r="BN69" s="119"/>
      <c r="BO69" s="119"/>
      <c r="BP69" s="119"/>
      <c r="BQ69" s="119"/>
      <c r="BR69" s="119"/>
      <c r="BS69" s="119"/>
      <c r="BT69" s="119"/>
      <c r="BU69" s="119"/>
      <c r="BV69" s="119"/>
      <c r="BW69" s="119"/>
      <c r="BX69" s="119"/>
      <c r="BY69" s="119"/>
      <c r="BZ69" s="119"/>
      <c r="CA69" s="119"/>
      <c r="CB69" s="119"/>
      <c r="CC69" s="119"/>
      <c r="CD69" s="119"/>
      <c r="CE69" s="119"/>
      <c r="CF69" s="119"/>
      <c r="CG69" s="119"/>
      <c r="CH69" s="119"/>
      <c r="CI69" s="119"/>
      <c r="CJ69" s="119"/>
      <c r="CK69" s="119"/>
      <c r="CL69" s="119"/>
      <c r="CM69" s="119"/>
      <c r="CN69" s="119"/>
      <c r="CO69" s="119"/>
      <c r="CP69" s="119"/>
      <c r="CQ69" s="119"/>
      <c r="CR69" s="119"/>
      <c r="CS69" s="119"/>
      <c r="CT69" s="119"/>
      <c r="CU69" s="119"/>
      <c r="CV69" s="119"/>
      <c r="CW69" s="119"/>
      <c r="CX69" s="119"/>
      <c r="CY69" s="119"/>
      <c r="CZ69" s="119"/>
      <c r="DA69" s="119"/>
      <c r="DB69" s="119"/>
      <c r="DC69" s="119"/>
      <c r="DD69" s="119"/>
      <c r="DE69" s="119"/>
      <c r="DF69" s="119"/>
      <c r="DG69" s="119"/>
      <c r="DH69" s="119"/>
      <c r="DI69" s="119"/>
      <c r="DJ69" s="119"/>
      <c r="DK69" s="119"/>
      <c r="DL69" s="119"/>
      <c r="DM69" s="119"/>
      <c r="DN69" s="119"/>
      <c r="DO69" s="119"/>
      <c r="DP69" s="119"/>
      <c r="DQ69" s="119"/>
      <c r="DR69" s="119"/>
      <c r="DS69" s="119"/>
      <c r="DT69" s="119"/>
      <c r="DU69" s="119"/>
      <c r="DV69" s="119"/>
      <c r="DW69" s="119"/>
      <c r="DX69" s="119"/>
      <c r="DY69" s="119"/>
      <c r="DZ69" s="119"/>
      <c r="EA69" s="119"/>
      <c r="EB69" s="119"/>
      <c r="EC69" s="119"/>
      <c r="ED69" s="119"/>
      <c r="EE69" s="119"/>
      <c r="EF69" s="119"/>
      <c r="EG69" s="119"/>
      <c r="EH69" s="119"/>
      <c r="EI69" s="119"/>
      <c r="EJ69" s="119"/>
      <c r="EK69" s="119"/>
      <c r="EL69" s="119"/>
      <c r="EM69" s="119"/>
      <c r="EN69" s="119"/>
      <c r="EO69" s="119"/>
      <c r="EP69" s="119"/>
      <c r="EQ69" s="119"/>
      <c r="ER69" s="119"/>
      <c r="ES69" s="119"/>
      <c r="ET69" s="119"/>
      <c r="EU69" s="119"/>
      <c r="EV69" s="119"/>
      <c r="EW69" s="119"/>
      <c r="EX69" s="119"/>
      <c r="EY69" s="119"/>
      <c r="EZ69" s="119"/>
      <c r="FA69" s="119"/>
      <c r="FB69" s="119"/>
      <c r="FC69" s="119"/>
      <c r="FD69" s="119"/>
      <c r="FE69" s="119"/>
      <c r="FF69" s="119"/>
      <c r="FG69" s="119"/>
      <c r="FH69" s="119"/>
      <c r="FI69" s="119"/>
      <c r="FJ69" s="119"/>
      <c r="FK69" s="119"/>
      <c r="FL69" s="119"/>
      <c r="FM69" s="119"/>
      <c r="FN69" s="119"/>
      <c r="FO69" s="119"/>
      <c r="FP69" s="119"/>
      <c r="FQ69" s="119"/>
      <c r="FR69" s="119"/>
      <c r="FS69" s="119"/>
      <c r="FT69" s="119"/>
      <c r="FU69" s="119"/>
      <c r="FV69" s="119"/>
      <c r="FW69" s="119"/>
      <c r="FX69" s="119"/>
      <c r="FY69" s="119"/>
      <c r="FZ69" s="119"/>
      <c r="GA69" s="119"/>
      <c r="GB69" s="119"/>
      <c r="GC69" s="119"/>
      <c r="GD69" s="119"/>
      <c r="GE69" s="119"/>
      <c r="GF69" s="119"/>
      <c r="GG69" s="119"/>
      <c r="GH69" s="119"/>
      <c r="GI69" s="119"/>
      <c r="GJ69" s="119"/>
      <c r="GK69" s="119"/>
      <c r="GL69" s="119"/>
      <c r="GM69" s="119"/>
      <c r="GN69" s="119"/>
      <c r="GO69" s="119"/>
      <c r="GP69" s="119"/>
      <c r="GQ69" s="119"/>
      <c r="GR69" s="119"/>
      <c r="GS69" s="119"/>
      <c r="GT69" s="119"/>
      <c r="GU69" s="119"/>
      <c r="GV69" s="119"/>
      <c r="GW69" s="119"/>
      <c r="GX69" s="119"/>
      <c r="GY69" s="119"/>
      <c r="GZ69" s="119"/>
      <c r="HA69" s="119"/>
      <c r="HB69" s="119"/>
      <c r="HC69" s="119"/>
      <c r="HD69" s="119"/>
      <c r="HE69" s="119"/>
      <c r="HF69" s="119"/>
      <c r="HG69" s="119"/>
      <c r="HH69" s="119"/>
      <c r="HI69" s="119"/>
      <c r="HJ69" s="119"/>
      <c r="HK69" s="119"/>
      <c r="HL69" s="119"/>
      <c r="HM69" s="119"/>
      <c r="HN69" s="119"/>
      <c r="HO69" s="119"/>
      <c r="HP69" s="119"/>
      <c r="HQ69" s="119"/>
      <c r="HR69" s="119"/>
      <c r="HS69" s="119"/>
      <c r="HT69" s="119"/>
      <c r="HU69" s="119"/>
      <c r="HV69" s="119"/>
      <c r="HW69" s="119"/>
      <c r="HX69" s="119"/>
      <c r="HY69" s="119"/>
      <c r="HZ69" s="119"/>
      <c r="IA69" s="119"/>
      <c r="IB69" s="119"/>
      <c r="IC69" s="119"/>
      <c r="ID69" s="119"/>
      <c r="IE69" s="119"/>
      <c r="IF69" s="119"/>
      <c r="IG69" s="119"/>
      <c r="IH69" s="119"/>
      <c r="II69" s="119"/>
      <c r="IJ69" s="119"/>
      <c r="IK69" s="119"/>
      <c r="IL69" s="119"/>
      <c r="IM69" s="119"/>
      <c r="IN69" s="119"/>
      <c r="IO69" s="119"/>
      <c r="IP69" s="119"/>
      <c r="IQ69" s="119"/>
      <c r="IR69" s="119"/>
      <c r="IS69" s="119"/>
      <c r="IT69" s="119"/>
      <c r="IU69" s="119"/>
      <c r="IV69" s="119"/>
      <c r="IW69" s="119"/>
    </row>
    <row r="70" spans="1:257" s="187" customFormat="1" ht="18" customHeight="1" x14ac:dyDescent="0.35">
      <c r="A70" s="195">
        <v>61</v>
      </c>
      <c r="B70" s="575"/>
      <c r="C70" s="548"/>
      <c r="D70" s="1266" t="s">
        <v>862</v>
      </c>
      <c r="E70" s="238"/>
      <c r="F70" s="238"/>
      <c r="G70" s="576"/>
      <c r="H70" s="240"/>
      <c r="I70" s="1270"/>
      <c r="J70" s="1270"/>
      <c r="K70" s="1270">
        <f>SUM(K68:K69)</f>
        <v>650</v>
      </c>
      <c r="L70" s="1270"/>
      <c r="M70" s="1270"/>
      <c r="N70" s="1271"/>
      <c r="O70" s="576"/>
      <c r="P70" s="1275">
        <f t="shared" si="17"/>
        <v>650</v>
      </c>
      <c r="Q70" s="1246"/>
      <c r="R70" s="119"/>
      <c r="S70" s="119"/>
      <c r="T70" s="119"/>
      <c r="U70" s="119"/>
      <c r="V70" s="119"/>
      <c r="W70" s="119"/>
      <c r="X70" s="119"/>
      <c r="Y70" s="119"/>
      <c r="Z70" s="119"/>
      <c r="AA70" s="119"/>
      <c r="AB70" s="119"/>
      <c r="AC70" s="119"/>
      <c r="AD70" s="119"/>
      <c r="AE70" s="119"/>
      <c r="AF70" s="119"/>
      <c r="AG70" s="119"/>
      <c r="AH70" s="119"/>
      <c r="AI70" s="119"/>
      <c r="AJ70" s="119"/>
      <c r="AK70" s="119"/>
      <c r="AL70" s="119"/>
      <c r="AM70" s="119"/>
      <c r="AN70" s="119"/>
      <c r="AO70" s="119"/>
      <c r="AP70" s="119"/>
      <c r="AQ70" s="119"/>
      <c r="AR70" s="119"/>
      <c r="AS70" s="119"/>
      <c r="AT70" s="119"/>
      <c r="AU70" s="119"/>
      <c r="AV70" s="119"/>
      <c r="AW70" s="119"/>
      <c r="AX70" s="119"/>
      <c r="AY70" s="119"/>
      <c r="AZ70" s="119"/>
      <c r="BA70" s="119"/>
      <c r="BB70" s="119"/>
      <c r="BC70" s="119"/>
      <c r="BD70" s="119"/>
      <c r="BE70" s="119"/>
      <c r="BF70" s="119"/>
      <c r="BG70" s="119"/>
      <c r="BH70" s="119"/>
      <c r="BI70" s="119"/>
      <c r="BJ70" s="119"/>
      <c r="BK70" s="119"/>
      <c r="BL70" s="119"/>
      <c r="BM70" s="119"/>
      <c r="BN70" s="119"/>
      <c r="BO70" s="119"/>
      <c r="BP70" s="119"/>
      <c r="BQ70" s="119"/>
      <c r="BR70" s="119"/>
      <c r="BS70" s="119"/>
      <c r="BT70" s="119"/>
      <c r="BU70" s="119"/>
      <c r="BV70" s="119"/>
      <c r="BW70" s="119"/>
      <c r="BX70" s="119"/>
      <c r="BY70" s="119"/>
      <c r="BZ70" s="119"/>
      <c r="CA70" s="119"/>
      <c r="CB70" s="119"/>
      <c r="CC70" s="119"/>
      <c r="CD70" s="119"/>
      <c r="CE70" s="119"/>
      <c r="CF70" s="119"/>
      <c r="CG70" s="119"/>
      <c r="CH70" s="119"/>
      <c r="CI70" s="119"/>
      <c r="CJ70" s="119"/>
      <c r="CK70" s="119"/>
      <c r="CL70" s="119"/>
      <c r="CM70" s="119"/>
      <c r="CN70" s="119"/>
      <c r="CO70" s="119"/>
      <c r="CP70" s="119"/>
      <c r="CQ70" s="119"/>
      <c r="CR70" s="119"/>
      <c r="CS70" s="119"/>
      <c r="CT70" s="119"/>
      <c r="CU70" s="119"/>
      <c r="CV70" s="119"/>
      <c r="CW70" s="119"/>
      <c r="CX70" s="119"/>
      <c r="CY70" s="119"/>
      <c r="CZ70" s="119"/>
      <c r="DA70" s="119"/>
      <c r="DB70" s="119"/>
      <c r="DC70" s="119"/>
      <c r="DD70" s="119"/>
      <c r="DE70" s="119"/>
      <c r="DF70" s="119"/>
      <c r="DG70" s="119"/>
      <c r="DH70" s="119"/>
      <c r="DI70" s="119"/>
      <c r="DJ70" s="119"/>
      <c r="DK70" s="119"/>
      <c r="DL70" s="119"/>
      <c r="DM70" s="119"/>
      <c r="DN70" s="119"/>
      <c r="DO70" s="119"/>
      <c r="DP70" s="119"/>
      <c r="DQ70" s="119"/>
      <c r="DR70" s="119"/>
      <c r="DS70" s="119"/>
      <c r="DT70" s="119"/>
      <c r="DU70" s="119"/>
      <c r="DV70" s="119"/>
      <c r="DW70" s="119"/>
      <c r="DX70" s="119"/>
      <c r="DY70" s="119"/>
      <c r="DZ70" s="119"/>
      <c r="EA70" s="119"/>
      <c r="EB70" s="119"/>
      <c r="EC70" s="119"/>
      <c r="ED70" s="119"/>
      <c r="EE70" s="119"/>
      <c r="EF70" s="119"/>
      <c r="EG70" s="119"/>
      <c r="EH70" s="119"/>
      <c r="EI70" s="119"/>
      <c r="EJ70" s="119"/>
      <c r="EK70" s="119"/>
      <c r="EL70" s="119"/>
      <c r="EM70" s="119"/>
      <c r="EN70" s="119"/>
      <c r="EO70" s="119"/>
      <c r="EP70" s="119"/>
      <c r="EQ70" s="119"/>
      <c r="ER70" s="119"/>
      <c r="ES70" s="119"/>
      <c r="ET70" s="119"/>
      <c r="EU70" s="119"/>
      <c r="EV70" s="119"/>
      <c r="EW70" s="119"/>
      <c r="EX70" s="119"/>
      <c r="EY70" s="119"/>
      <c r="EZ70" s="119"/>
      <c r="FA70" s="119"/>
      <c r="FB70" s="119"/>
      <c r="FC70" s="119"/>
      <c r="FD70" s="119"/>
      <c r="FE70" s="119"/>
      <c r="FF70" s="119"/>
      <c r="FG70" s="119"/>
      <c r="FH70" s="119"/>
      <c r="FI70" s="119"/>
      <c r="FJ70" s="119"/>
      <c r="FK70" s="119"/>
      <c r="FL70" s="119"/>
      <c r="FM70" s="119"/>
      <c r="FN70" s="119"/>
      <c r="FO70" s="119"/>
      <c r="FP70" s="119"/>
      <c r="FQ70" s="119"/>
      <c r="FR70" s="119"/>
      <c r="FS70" s="119"/>
      <c r="FT70" s="119"/>
      <c r="FU70" s="119"/>
      <c r="FV70" s="119"/>
      <c r="FW70" s="119"/>
      <c r="FX70" s="119"/>
      <c r="FY70" s="119"/>
      <c r="FZ70" s="119"/>
      <c r="GA70" s="119"/>
      <c r="GB70" s="119"/>
      <c r="GC70" s="119"/>
      <c r="GD70" s="119"/>
      <c r="GE70" s="119"/>
      <c r="GF70" s="119"/>
      <c r="GG70" s="119"/>
      <c r="GH70" s="119"/>
      <c r="GI70" s="119"/>
      <c r="GJ70" s="119"/>
      <c r="GK70" s="119"/>
      <c r="GL70" s="119"/>
      <c r="GM70" s="119"/>
      <c r="GN70" s="119"/>
      <c r="GO70" s="119"/>
      <c r="GP70" s="119"/>
      <c r="GQ70" s="119"/>
      <c r="GR70" s="119"/>
      <c r="GS70" s="119"/>
      <c r="GT70" s="119"/>
      <c r="GU70" s="119"/>
      <c r="GV70" s="119"/>
      <c r="GW70" s="119"/>
      <c r="GX70" s="119"/>
      <c r="GY70" s="119"/>
      <c r="GZ70" s="119"/>
      <c r="HA70" s="119"/>
      <c r="HB70" s="119"/>
      <c r="HC70" s="119"/>
      <c r="HD70" s="119"/>
      <c r="HE70" s="119"/>
      <c r="HF70" s="119"/>
      <c r="HG70" s="119"/>
      <c r="HH70" s="119"/>
      <c r="HI70" s="119"/>
      <c r="HJ70" s="119"/>
      <c r="HK70" s="119"/>
      <c r="HL70" s="119"/>
      <c r="HM70" s="119"/>
      <c r="HN70" s="119"/>
      <c r="HO70" s="119"/>
      <c r="HP70" s="119"/>
      <c r="HQ70" s="119"/>
      <c r="HR70" s="119"/>
      <c r="HS70" s="119"/>
      <c r="HT70" s="119"/>
      <c r="HU70" s="119"/>
      <c r="HV70" s="119"/>
      <c r="HW70" s="119"/>
      <c r="HX70" s="119"/>
      <c r="HY70" s="119"/>
      <c r="HZ70" s="119"/>
      <c r="IA70" s="119"/>
      <c r="IB70" s="119"/>
      <c r="IC70" s="119"/>
      <c r="ID70" s="119"/>
      <c r="IE70" s="119"/>
      <c r="IF70" s="119"/>
      <c r="IG70" s="119"/>
      <c r="IH70" s="119"/>
      <c r="II70" s="119"/>
      <c r="IJ70" s="119"/>
      <c r="IK70" s="119"/>
      <c r="IL70" s="119"/>
      <c r="IM70" s="119"/>
      <c r="IN70" s="119"/>
      <c r="IO70" s="119"/>
      <c r="IP70" s="119"/>
      <c r="IQ70" s="119"/>
      <c r="IR70" s="119"/>
      <c r="IS70" s="119"/>
      <c r="IT70" s="119"/>
      <c r="IU70" s="119"/>
      <c r="IV70" s="119"/>
      <c r="IW70" s="119"/>
    </row>
    <row r="71" spans="1:257" s="187" customFormat="1" ht="22.5" customHeight="1" x14ac:dyDescent="0.35">
      <c r="A71" s="195">
        <v>62</v>
      </c>
      <c r="B71" s="575"/>
      <c r="C71" s="871">
        <v>29</v>
      </c>
      <c r="D71" s="194" t="s">
        <v>524</v>
      </c>
      <c r="E71" s="547">
        <f>F71+G71+P75+Q72</f>
        <v>4596</v>
      </c>
      <c r="F71" s="238"/>
      <c r="G71" s="576"/>
      <c r="H71" s="578" t="s">
        <v>24</v>
      </c>
      <c r="I71" s="549"/>
      <c r="J71" s="549"/>
      <c r="K71" s="549"/>
      <c r="L71" s="549"/>
      <c r="M71" s="549"/>
      <c r="N71" s="577"/>
      <c r="O71" s="1782"/>
      <c r="P71" s="236"/>
      <c r="Q71" s="235"/>
      <c r="R71" s="119"/>
      <c r="S71" s="119"/>
      <c r="T71" s="119"/>
      <c r="U71" s="119"/>
      <c r="V71" s="119"/>
      <c r="W71" s="119"/>
      <c r="X71" s="119"/>
      <c r="Y71" s="119"/>
      <c r="Z71" s="119"/>
      <c r="AA71" s="119"/>
      <c r="AB71" s="119"/>
      <c r="AC71" s="119"/>
      <c r="AD71" s="119"/>
      <c r="AE71" s="119"/>
      <c r="AF71" s="119"/>
      <c r="AG71" s="119"/>
      <c r="AH71" s="119"/>
      <c r="AI71" s="119"/>
      <c r="AJ71" s="119"/>
      <c r="AK71" s="119"/>
      <c r="AL71" s="119"/>
      <c r="AM71" s="119"/>
      <c r="AN71" s="119"/>
      <c r="AO71" s="119"/>
      <c r="AP71" s="119"/>
      <c r="AQ71" s="119"/>
      <c r="AR71" s="119"/>
      <c r="AS71" s="119"/>
      <c r="AT71" s="119"/>
      <c r="AU71" s="119"/>
      <c r="AV71" s="119"/>
      <c r="AW71" s="119"/>
      <c r="AX71" s="119"/>
      <c r="AY71" s="119"/>
      <c r="AZ71" s="119"/>
      <c r="BA71" s="119"/>
      <c r="BB71" s="119"/>
      <c r="BC71" s="119"/>
      <c r="BD71" s="119"/>
      <c r="BE71" s="119"/>
      <c r="BF71" s="119"/>
      <c r="BG71" s="119"/>
      <c r="BH71" s="119"/>
      <c r="BI71" s="119"/>
      <c r="BJ71" s="119"/>
      <c r="BK71" s="119"/>
      <c r="BL71" s="119"/>
      <c r="BM71" s="119"/>
      <c r="BN71" s="119"/>
      <c r="BO71" s="119"/>
      <c r="BP71" s="119"/>
      <c r="BQ71" s="119"/>
      <c r="BR71" s="119"/>
      <c r="BS71" s="119"/>
      <c r="BT71" s="119"/>
      <c r="BU71" s="119"/>
      <c r="BV71" s="119"/>
      <c r="BW71" s="119"/>
      <c r="BX71" s="119"/>
      <c r="BY71" s="119"/>
      <c r="BZ71" s="119"/>
      <c r="CA71" s="119"/>
      <c r="CB71" s="119"/>
      <c r="CC71" s="119"/>
      <c r="CD71" s="119"/>
      <c r="CE71" s="119"/>
      <c r="CF71" s="119"/>
      <c r="CG71" s="119"/>
      <c r="CH71" s="119"/>
      <c r="CI71" s="119"/>
      <c r="CJ71" s="119"/>
      <c r="CK71" s="119"/>
      <c r="CL71" s="119"/>
      <c r="CM71" s="119"/>
      <c r="CN71" s="119"/>
      <c r="CO71" s="119"/>
      <c r="CP71" s="119"/>
      <c r="CQ71" s="119"/>
      <c r="CR71" s="119"/>
      <c r="CS71" s="119"/>
      <c r="CT71" s="119"/>
      <c r="CU71" s="119"/>
      <c r="CV71" s="119"/>
      <c r="CW71" s="119"/>
      <c r="CX71" s="119"/>
      <c r="CY71" s="119"/>
      <c r="CZ71" s="119"/>
      <c r="DA71" s="119"/>
      <c r="DB71" s="119"/>
      <c r="DC71" s="119"/>
      <c r="DD71" s="119"/>
      <c r="DE71" s="119"/>
      <c r="DF71" s="119"/>
      <c r="DG71" s="119"/>
      <c r="DH71" s="119"/>
      <c r="DI71" s="119"/>
      <c r="DJ71" s="119"/>
      <c r="DK71" s="119"/>
      <c r="DL71" s="119"/>
      <c r="DM71" s="119"/>
      <c r="DN71" s="119"/>
      <c r="DO71" s="119"/>
      <c r="DP71" s="119"/>
      <c r="DQ71" s="119"/>
      <c r="DR71" s="119"/>
      <c r="DS71" s="119"/>
      <c r="DT71" s="119"/>
      <c r="DU71" s="119"/>
      <c r="DV71" s="119"/>
      <c r="DW71" s="119"/>
      <c r="DX71" s="119"/>
      <c r="DY71" s="119"/>
      <c r="DZ71" s="119"/>
      <c r="EA71" s="119"/>
      <c r="EB71" s="119"/>
      <c r="EC71" s="119"/>
      <c r="ED71" s="119"/>
      <c r="EE71" s="119"/>
      <c r="EF71" s="119"/>
      <c r="EG71" s="119"/>
      <c r="EH71" s="119"/>
      <c r="EI71" s="119"/>
      <c r="EJ71" s="119"/>
      <c r="EK71" s="119"/>
      <c r="EL71" s="119"/>
      <c r="EM71" s="119"/>
      <c r="EN71" s="119"/>
      <c r="EO71" s="119"/>
      <c r="EP71" s="119"/>
      <c r="EQ71" s="119"/>
      <c r="ER71" s="119"/>
      <c r="ES71" s="119"/>
      <c r="ET71" s="119"/>
      <c r="EU71" s="119"/>
      <c r="EV71" s="119"/>
      <c r="EW71" s="119"/>
      <c r="EX71" s="119"/>
      <c r="EY71" s="119"/>
      <c r="EZ71" s="119"/>
      <c r="FA71" s="119"/>
      <c r="FB71" s="119"/>
      <c r="FC71" s="119"/>
      <c r="FD71" s="119"/>
      <c r="FE71" s="119"/>
      <c r="FF71" s="119"/>
      <c r="FG71" s="119"/>
      <c r="FH71" s="119"/>
      <c r="FI71" s="119"/>
      <c r="FJ71" s="119"/>
      <c r="FK71" s="119"/>
      <c r="FL71" s="119"/>
      <c r="FM71" s="119"/>
      <c r="FN71" s="119"/>
      <c r="FO71" s="119"/>
      <c r="FP71" s="119"/>
      <c r="FQ71" s="119"/>
      <c r="FR71" s="119"/>
      <c r="FS71" s="119"/>
      <c r="FT71" s="119"/>
      <c r="FU71" s="119"/>
      <c r="FV71" s="119"/>
      <c r="FW71" s="119"/>
      <c r="FX71" s="119"/>
      <c r="FY71" s="119"/>
      <c r="FZ71" s="119"/>
      <c r="GA71" s="119"/>
      <c r="GB71" s="119"/>
      <c r="GC71" s="119"/>
      <c r="GD71" s="119"/>
      <c r="GE71" s="119"/>
      <c r="GF71" s="119"/>
      <c r="GG71" s="119"/>
      <c r="GH71" s="119"/>
      <c r="GI71" s="119"/>
      <c r="GJ71" s="119"/>
      <c r="GK71" s="119"/>
      <c r="GL71" s="119"/>
      <c r="GM71" s="119"/>
      <c r="GN71" s="119"/>
      <c r="GO71" s="119"/>
      <c r="GP71" s="119"/>
      <c r="GQ71" s="119"/>
      <c r="GR71" s="119"/>
      <c r="GS71" s="119"/>
      <c r="GT71" s="119"/>
      <c r="GU71" s="119"/>
      <c r="GV71" s="119"/>
      <c r="GW71" s="119"/>
      <c r="GX71" s="119"/>
      <c r="GY71" s="119"/>
      <c r="GZ71" s="119"/>
      <c r="HA71" s="119"/>
      <c r="HB71" s="119"/>
      <c r="HC71" s="119"/>
      <c r="HD71" s="119"/>
      <c r="HE71" s="119"/>
      <c r="HF71" s="119"/>
      <c r="HG71" s="119"/>
      <c r="HH71" s="119"/>
      <c r="HI71" s="119"/>
      <c r="HJ71" s="119"/>
      <c r="HK71" s="119"/>
      <c r="HL71" s="119"/>
      <c r="HM71" s="119"/>
      <c r="HN71" s="119"/>
      <c r="HO71" s="119"/>
      <c r="HP71" s="119"/>
      <c r="HQ71" s="119"/>
      <c r="HR71" s="119"/>
      <c r="HS71" s="119"/>
      <c r="HT71" s="119"/>
      <c r="HU71" s="119"/>
      <c r="HV71" s="119"/>
      <c r="HW71" s="119"/>
      <c r="HX71" s="119"/>
      <c r="HY71" s="119"/>
      <c r="HZ71" s="119"/>
      <c r="IA71" s="119"/>
      <c r="IB71" s="119"/>
      <c r="IC71" s="119"/>
      <c r="ID71" s="119"/>
      <c r="IE71" s="119"/>
      <c r="IF71" s="119"/>
      <c r="IG71" s="119"/>
      <c r="IH71" s="119"/>
      <c r="II71" s="119"/>
      <c r="IJ71" s="119"/>
      <c r="IK71" s="119"/>
      <c r="IL71" s="119"/>
      <c r="IM71" s="119"/>
      <c r="IN71" s="119"/>
      <c r="IO71" s="119"/>
      <c r="IP71" s="119"/>
      <c r="IQ71" s="119"/>
      <c r="IR71" s="119"/>
      <c r="IS71" s="119"/>
      <c r="IT71" s="119"/>
      <c r="IU71" s="119"/>
      <c r="IV71" s="119"/>
      <c r="IW71" s="119"/>
    </row>
    <row r="72" spans="1:257" s="187" customFormat="1" ht="18" customHeight="1" x14ac:dyDescent="0.35">
      <c r="A72" s="195">
        <v>63</v>
      </c>
      <c r="B72" s="692"/>
      <c r="C72" s="120"/>
      <c r="D72" s="221" t="s">
        <v>245</v>
      </c>
      <c r="E72" s="127"/>
      <c r="F72" s="127"/>
      <c r="G72" s="693"/>
      <c r="H72" s="224"/>
      <c r="I72" s="275"/>
      <c r="J72" s="275"/>
      <c r="K72" s="275">
        <v>2263</v>
      </c>
      <c r="L72" s="275"/>
      <c r="M72" s="275"/>
      <c r="N72" s="686"/>
      <c r="O72" s="1784"/>
      <c r="P72" s="217">
        <f>SUM(I72:N72)</f>
        <v>2263</v>
      </c>
      <c r="Q72" s="580">
        <v>2333</v>
      </c>
      <c r="R72" s="119"/>
      <c r="S72" s="119"/>
      <c r="T72" s="119"/>
      <c r="U72" s="119"/>
      <c r="V72" s="119"/>
      <c r="W72" s="119"/>
      <c r="X72" s="119"/>
      <c r="Y72" s="119"/>
      <c r="Z72" s="119"/>
      <c r="AA72" s="119"/>
      <c r="AB72" s="119"/>
      <c r="AC72" s="119"/>
      <c r="AD72" s="119"/>
      <c r="AE72" s="119"/>
      <c r="AF72" s="119"/>
      <c r="AG72" s="119"/>
      <c r="AH72" s="119"/>
      <c r="AI72" s="119"/>
      <c r="AJ72" s="119"/>
      <c r="AK72" s="119"/>
      <c r="AL72" s="119"/>
      <c r="AM72" s="119"/>
      <c r="AN72" s="119"/>
      <c r="AO72" s="119"/>
      <c r="AP72" s="119"/>
      <c r="AQ72" s="119"/>
      <c r="AR72" s="119"/>
      <c r="AS72" s="119"/>
      <c r="AT72" s="119"/>
      <c r="AU72" s="119"/>
      <c r="AV72" s="119"/>
      <c r="AW72" s="119"/>
      <c r="AX72" s="119"/>
      <c r="AY72" s="119"/>
      <c r="AZ72" s="119"/>
      <c r="BA72" s="119"/>
      <c r="BB72" s="119"/>
      <c r="BC72" s="119"/>
      <c r="BD72" s="119"/>
      <c r="BE72" s="119"/>
      <c r="BF72" s="119"/>
      <c r="BG72" s="119"/>
      <c r="BH72" s="119"/>
      <c r="BI72" s="119"/>
      <c r="BJ72" s="119"/>
      <c r="BK72" s="119"/>
      <c r="BL72" s="119"/>
      <c r="BM72" s="119"/>
      <c r="BN72" s="119"/>
      <c r="BO72" s="119"/>
      <c r="BP72" s="119"/>
      <c r="BQ72" s="119"/>
      <c r="BR72" s="119"/>
      <c r="BS72" s="119"/>
      <c r="BT72" s="119"/>
      <c r="BU72" s="119"/>
      <c r="BV72" s="119"/>
      <c r="BW72" s="119"/>
      <c r="BX72" s="119"/>
      <c r="BY72" s="119"/>
      <c r="BZ72" s="119"/>
      <c r="CA72" s="119"/>
      <c r="CB72" s="119"/>
      <c r="CC72" s="119"/>
      <c r="CD72" s="119"/>
      <c r="CE72" s="119"/>
      <c r="CF72" s="119"/>
      <c r="CG72" s="119"/>
      <c r="CH72" s="119"/>
      <c r="CI72" s="119"/>
      <c r="CJ72" s="119"/>
      <c r="CK72" s="119"/>
      <c r="CL72" s="119"/>
      <c r="CM72" s="119"/>
      <c r="CN72" s="119"/>
      <c r="CO72" s="119"/>
      <c r="CP72" s="119"/>
      <c r="CQ72" s="119"/>
      <c r="CR72" s="119"/>
      <c r="CS72" s="119"/>
      <c r="CT72" s="119"/>
      <c r="CU72" s="119"/>
      <c r="CV72" s="119"/>
      <c r="CW72" s="119"/>
      <c r="CX72" s="119"/>
      <c r="CY72" s="119"/>
      <c r="CZ72" s="119"/>
      <c r="DA72" s="119"/>
      <c r="DB72" s="119"/>
      <c r="DC72" s="119"/>
      <c r="DD72" s="119"/>
      <c r="DE72" s="119"/>
      <c r="DF72" s="119"/>
      <c r="DG72" s="119"/>
      <c r="DH72" s="119"/>
      <c r="DI72" s="119"/>
      <c r="DJ72" s="119"/>
      <c r="DK72" s="119"/>
      <c r="DL72" s="119"/>
      <c r="DM72" s="119"/>
      <c r="DN72" s="119"/>
      <c r="DO72" s="119"/>
      <c r="DP72" s="119"/>
      <c r="DQ72" s="119"/>
      <c r="DR72" s="119"/>
      <c r="DS72" s="119"/>
      <c r="DT72" s="119"/>
      <c r="DU72" s="119"/>
      <c r="DV72" s="119"/>
      <c r="DW72" s="119"/>
      <c r="DX72" s="119"/>
      <c r="DY72" s="119"/>
      <c r="DZ72" s="119"/>
      <c r="EA72" s="119"/>
      <c r="EB72" s="119"/>
      <c r="EC72" s="119"/>
      <c r="ED72" s="119"/>
      <c r="EE72" s="119"/>
      <c r="EF72" s="119"/>
      <c r="EG72" s="119"/>
      <c r="EH72" s="119"/>
      <c r="EI72" s="119"/>
      <c r="EJ72" s="119"/>
      <c r="EK72" s="119"/>
      <c r="EL72" s="119"/>
      <c r="EM72" s="119"/>
      <c r="EN72" s="119"/>
      <c r="EO72" s="119"/>
      <c r="EP72" s="119"/>
      <c r="EQ72" s="119"/>
      <c r="ER72" s="119"/>
      <c r="ES72" s="119"/>
      <c r="ET72" s="119"/>
      <c r="EU72" s="119"/>
      <c r="EV72" s="119"/>
      <c r="EW72" s="119"/>
      <c r="EX72" s="119"/>
      <c r="EY72" s="119"/>
      <c r="EZ72" s="119"/>
      <c r="FA72" s="119"/>
      <c r="FB72" s="119"/>
      <c r="FC72" s="119"/>
      <c r="FD72" s="119"/>
      <c r="FE72" s="119"/>
      <c r="FF72" s="119"/>
      <c r="FG72" s="119"/>
      <c r="FH72" s="119"/>
      <c r="FI72" s="119"/>
      <c r="FJ72" s="119"/>
      <c r="FK72" s="119"/>
      <c r="FL72" s="119"/>
      <c r="FM72" s="119"/>
      <c r="FN72" s="119"/>
      <c r="FO72" s="119"/>
      <c r="FP72" s="119"/>
      <c r="FQ72" s="119"/>
      <c r="FR72" s="119"/>
      <c r="FS72" s="119"/>
      <c r="FT72" s="119"/>
      <c r="FU72" s="119"/>
      <c r="FV72" s="119"/>
      <c r="FW72" s="119"/>
      <c r="FX72" s="119"/>
      <c r="FY72" s="119"/>
      <c r="FZ72" s="119"/>
      <c r="GA72" s="119"/>
      <c r="GB72" s="119"/>
      <c r="GC72" s="119"/>
      <c r="GD72" s="119"/>
      <c r="GE72" s="119"/>
      <c r="GF72" s="119"/>
      <c r="GG72" s="119"/>
      <c r="GH72" s="119"/>
      <c r="GI72" s="119"/>
      <c r="GJ72" s="119"/>
      <c r="GK72" s="119"/>
      <c r="GL72" s="119"/>
      <c r="GM72" s="119"/>
      <c r="GN72" s="119"/>
      <c r="GO72" s="119"/>
      <c r="GP72" s="119"/>
      <c r="GQ72" s="119"/>
      <c r="GR72" s="119"/>
      <c r="GS72" s="119"/>
      <c r="GT72" s="119"/>
      <c r="GU72" s="119"/>
      <c r="GV72" s="119"/>
      <c r="GW72" s="119"/>
      <c r="GX72" s="119"/>
      <c r="GY72" s="119"/>
      <c r="GZ72" s="119"/>
      <c r="HA72" s="119"/>
      <c r="HB72" s="119"/>
      <c r="HC72" s="119"/>
      <c r="HD72" s="119"/>
      <c r="HE72" s="119"/>
      <c r="HF72" s="119"/>
      <c r="HG72" s="119"/>
      <c r="HH72" s="119"/>
      <c r="HI72" s="119"/>
      <c r="HJ72" s="119"/>
      <c r="HK72" s="119"/>
      <c r="HL72" s="119"/>
      <c r="HM72" s="119"/>
      <c r="HN72" s="119"/>
      <c r="HO72" s="119"/>
      <c r="HP72" s="119"/>
      <c r="HQ72" s="119"/>
      <c r="HR72" s="119"/>
      <c r="HS72" s="119"/>
      <c r="HT72" s="119"/>
      <c r="HU72" s="119"/>
      <c r="HV72" s="119"/>
      <c r="HW72" s="119"/>
      <c r="HX72" s="119"/>
      <c r="HY72" s="119"/>
      <c r="HZ72" s="119"/>
      <c r="IA72" s="119"/>
      <c r="IB72" s="119"/>
      <c r="IC72" s="119"/>
      <c r="ID72" s="119"/>
      <c r="IE72" s="119"/>
      <c r="IF72" s="119"/>
      <c r="IG72" s="119"/>
      <c r="IH72" s="119"/>
      <c r="II72" s="119"/>
      <c r="IJ72" s="119"/>
      <c r="IK72" s="119"/>
      <c r="IL72" s="119"/>
      <c r="IM72" s="119"/>
      <c r="IN72" s="119"/>
      <c r="IO72" s="119"/>
      <c r="IP72" s="119"/>
      <c r="IQ72" s="119"/>
      <c r="IR72" s="119"/>
      <c r="IS72" s="119"/>
      <c r="IT72" s="119"/>
      <c r="IU72" s="119"/>
      <c r="IV72" s="119"/>
      <c r="IW72" s="119"/>
    </row>
    <row r="73" spans="1:257" s="187" customFormat="1" ht="18" customHeight="1" x14ac:dyDescent="0.35">
      <c r="A73" s="195">
        <v>64</v>
      </c>
      <c r="B73" s="692"/>
      <c r="C73" s="120"/>
      <c r="D73" s="1266" t="s">
        <v>808</v>
      </c>
      <c r="E73" s="127"/>
      <c r="F73" s="127"/>
      <c r="G73" s="693"/>
      <c r="H73" s="240"/>
      <c r="I73" s="275"/>
      <c r="J73" s="275"/>
      <c r="K73" s="559">
        <v>2263</v>
      </c>
      <c r="L73" s="559"/>
      <c r="M73" s="559"/>
      <c r="N73" s="1284"/>
      <c r="O73" s="693"/>
      <c r="P73" s="1272">
        <f>SUM(I73:N73)</f>
        <v>2263</v>
      </c>
      <c r="Q73" s="694"/>
      <c r="R73" s="119"/>
      <c r="S73" s="119"/>
      <c r="T73" s="119"/>
      <c r="U73" s="119"/>
      <c r="V73" s="119"/>
      <c r="W73" s="119"/>
      <c r="X73" s="119"/>
      <c r="Y73" s="119"/>
      <c r="Z73" s="119"/>
      <c r="AA73" s="119"/>
      <c r="AB73" s="119"/>
      <c r="AC73" s="119"/>
      <c r="AD73" s="119"/>
      <c r="AE73" s="119"/>
      <c r="AF73" s="119"/>
      <c r="AG73" s="119"/>
      <c r="AH73" s="119"/>
      <c r="AI73" s="119"/>
      <c r="AJ73" s="119"/>
      <c r="AK73" s="119"/>
      <c r="AL73" s="119"/>
      <c r="AM73" s="119"/>
      <c r="AN73" s="119"/>
      <c r="AO73" s="119"/>
      <c r="AP73" s="119"/>
      <c r="AQ73" s="119"/>
      <c r="AR73" s="119"/>
      <c r="AS73" s="119"/>
      <c r="AT73" s="119"/>
      <c r="AU73" s="119"/>
      <c r="AV73" s="119"/>
      <c r="AW73" s="119"/>
      <c r="AX73" s="119"/>
      <c r="AY73" s="119"/>
      <c r="AZ73" s="119"/>
      <c r="BA73" s="119"/>
      <c r="BB73" s="119"/>
      <c r="BC73" s="119"/>
      <c r="BD73" s="119"/>
      <c r="BE73" s="119"/>
      <c r="BF73" s="119"/>
      <c r="BG73" s="119"/>
      <c r="BH73" s="119"/>
      <c r="BI73" s="119"/>
      <c r="BJ73" s="119"/>
      <c r="BK73" s="119"/>
      <c r="BL73" s="119"/>
      <c r="BM73" s="119"/>
      <c r="BN73" s="119"/>
      <c r="BO73" s="119"/>
      <c r="BP73" s="119"/>
      <c r="BQ73" s="119"/>
      <c r="BR73" s="119"/>
      <c r="BS73" s="119"/>
      <c r="BT73" s="119"/>
      <c r="BU73" s="119"/>
      <c r="BV73" s="119"/>
      <c r="BW73" s="119"/>
      <c r="BX73" s="119"/>
      <c r="BY73" s="119"/>
      <c r="BZ73" s="119"/>
      <c r="CA73" s="119"/>
      <c r="CB73" s="119"/>
      <c r="CC73" s="119"/>
      <c r="CD73" s="119"/>
      <c r="CE73" s="119"/>
      <c r="CF73" s="119"/>
      <c r="CG73" s="119"/>
      <c r="CH73" s="119"/>
      <c r="CI73" s="119"/>
      <c r="CJ73" s="119"/>
      <c r="CK73" s="119"/>
      <c r="CL73" s="119"/>
      <c r="CM73" s="119"/>
      <c r="CN73" s="119"/>
      <c r="CO73" s="119"/>
      <c r="CP73" s="119"/>
      <c r="CQ73" s="119"/>
      <c r="CR73" s="119"/>
      <c r="CS73" s="119"/>
      <c r="CT73" s="119"/>
      <c r="CU73" s="119"/>
      <c r="CV73" s="119"/>
      <c r="CW73" s="119"/>
      <c r="CX73" s="119"/>
      <c r="CY73" s="119"/>
      <c r="CZ73" s="119"/>
      <c r="DA73" s="119"/>
      <c r="DB73" s="119"/>
      <c r="DC73" s="119"/>
      <c r="DD73" s="119"/>
      <c r="DE73" s="119"/>
      <c r="DF73" s="119"/>
      <c r="DG73" s="119"/>
      <c r="DH73" s="119"/>
      <c r="DI73" s="119"/>
      <c r="DJ73" s="119"/>
      <c r="DK73" s="119"/>
      <c r="DL73" s="119"/>
      <c r="DM73" s="119"/>
      <c r="DN73" s="119"/>
      <c r="DO73" s="119"/>
      <c r="DP73" s="119"/>
      <c r="DQ73" s="119"/>
      <c r="DR73" s="119"/>
      <c r="DS73" s="119"/>
      <c r="DT73" s="119"/>
      <c r="DU73" s="119"/>
      <c r="DV73" s="119"/>
      <c r="DW73" s="119"/>
      <c r="DX73" s="119"/>
      <c r="DY73" s="119"/>
      <c r="DZ73" s="119"/>
      <c r="EA73" s="119"/>
      <c r="EB73" s="119"/>
      <c r="EC73" s="119"/>
      <c r="ED73" s="119"/>
      <c r="EE73" s="119"/>
      <c r="EF73" s="119"/>
      <c r="EG73" s="119"/>
      <c r="EH73" s="119"/>
      <c r="EI73" s="119"/>
      <c r="EJ73" s="119"/>
      <c r="EK73" s="119"/>
      <c r="EL73" s="119"/>
      <c r="EM73" s="119"/>
      <c r="EN73" s="119"/>
      <c r="EO73" s="119"/>
      <c r="EP73" s="119"/>
      <c r="EQ73" s="119"/>
      <c r="ER73" s="119"/>
      <c r="ES73" s="119"/>
      <c r="ET73" s="119"/>
      <c r="EU73" s="119"/>
      <c r="EV73" s="119"/>
      <c r="EW73" s="119"/>
      <c r="EX73" s="119"/>
      <c r="EY73" s="119"/>
      <c r="EZ73" s="119"/>
      <c r="FA73" s="119"/>
      <c r="FB73" s="119"/>
      <c r="FC73" s="119"/>
      <c r="FD73" s="119"/>
      <c r="FE73" s="119"/>
      <c r="FF73" s="119"/>
      <c r="FG73" s="119"/>
      <c r="FH73" s="119"/>
      <c r="FI73" s="119"/>
      <c r="FJ73" s="119"/>
      <c r="FK73" s="119"/>
      <c r="FL73" s="119"/>
      <c r="FM73" s="119"/>
      <c r="FN73" s="119"/>
      <c r="FO73" s="119"/>
      <c r="FP73" s="119"/>
      <c r="FQ73" s="119"/>
      <c r="FR73" s="119"/>
      <c r="FS73" s="119"/>
      <c r="FT73" s="119"/>
      <c r="FU73" s="119"/>
      <c r="FV73" s="119"/>
      <c r="FW73" s="119"/>
      <c r="FX73" s="119"/>
      <c r="FY73" s="119"/>
      <c r="FZ73" s="119"/>
      <c r="GA73" s="119"/>
      <c r="GB73" s="119"/>
      <c r="GC73" s="119"/>
      <c r="GD73" s="119"/>
      <c r="GE73" s="119"/>
      <c r="GF73" s="119"/>
      <c r="GG73" s="119"/>
      <c r="GH73" s="119"/>
      <c r="GI73" s="119"/>
      <c r="GJ73" s="119"/>
      <c r="GK73" s="119"/>
      <c r="GL73" s="119"/>
      <c r="GM73" s="119"/>
      <c r="GN73" s="119"/>
      <c r="GO73" s="119"/>
      <c r="GP73" s="119"/>
      <c r="GQ73" s="119"/>
      <c r="GR73" s="119"/>
      <c r="GS73" s="119"/>
      <c r="GT73" s="119"/>
      <c r="GU73" s="119"/>
      <c r="GV73" s="119"/>
      <c r="GW73" s="119"/>
      <c r="GX73" s="119"/>
      <c r="GY73" s="119"/>
      <c r="GZ73" s="119"/>
      <c r="HA73" s="119"/>
      <c r="HB73" s="119"/>
      <c r="HC73" s="119"/>
      <c r="HD73" s="119"/>
      <c r="HE73" s="119"/>
      <c r="HF73" s="119"/>
      <c r="HG73" s="119"/>
      <c r="HH73" s="119"/>
      <c r="HI73" s="119"/>
      <c r="HJ73" s="119"/>
      <c r="HK73" s="119"/>
      <c r="HL73" s="119"/>
      <c r="HM73" s="119"/>
      <c r="HN73" s="119"/>
      <c r="HO73" s="119"/>
      <c r="HP73" s="119"/>
      <c r="HQ73" s="119"/>
      <c r="HR73" s="119"/>
      <c r="HS73" s="119"/>
      <c r="HT73" s="119"/>
      <c r="HU73" s="119"/>
      <c r="HV73" s="119"/>
      <c r="HW73" s="119"/>
      <c r="HX73" s="119"/>
      <c r="HY73" s="119"/>
      <c r="HZ73" s="119"/>
      <c r="IA73" s="119"/>
      <c r="IB73" s="119"/>
      <c r="IC73" s="119"/>
      <c r="ID73" s="119"/>
      <c r="IE73" s="119"/>
      <c r="IF73" s="119"/>
      <c r="IG73" s="119"/>
      <c r="IH73" s="119"/>
      <c r="II73" s="119"/>
      <c r="IJ73" s="119"/>
      <c r="IK73" s="119"/>
      <c r="IL73" s="119"/>
      <c r="IM73" s="119"/>
      <c r="IN73" s="119"/>
      <c r="IO73" s="119"/>
      <c r="IP73" s="119"/>
      <c r="IQ73" s="119"/>
      <c r="IR73" s="119"/>
      <c r="IS73" s="119"/>
      <c r="IT73" s="119"/>
      <c r="IU73" s="119"/>
      <c r="IV73" s="119"/>
      <c r="IW73" s="119"/>
    </row>
    <row r="74" spans="1:257" s="187" customFormat="1" ht="18" customHeight="1" x14ac:dyDescent="0.35">
      <c r="A74" s="195">
        <v>65</v>
      </c>
      <c r="B74" s="692"/>
      <c r="C74" s="120"/>
      <c r="D74" s="1265" t="s">
        <v>900</v>
      </c>
      <c r="E74" s="127"/>
      <c r="F74" s="127"/>
      <c r="G74" s="693"/>
      <c r="H74" s="240"/>
      <c r="I74" s="1282">
        <v>28</v>
      </c>
      <c r="J74" s="1282">
        <v>10</v>
      </c>
      <c r="K74" s="1282">
        <v>-38</v>
      </c>
      <c r="L74" s="1282"/>
      <c r="M74" s="1282"/>
      <c r="N74" s="1282"/>
      <c r="O74" s="1792"/>
      <c r="P74" s="1274">
        <f t="shared" ref="P74:P75" si="18">SUM(I74:N74)</f>
        <v>0</v>
      </c>
      <c r="Q74" s="694"/>
      <c r="R74" s="119"/>
      <c r="S74" s="119"/>
      <c r="T74" s="119"/>
      <c r="U74" s="119"/>
      <c r="V74" s="119"/>
      <c r="W74" s="119"/>
      <c r="X74" s="119"/>
      <c r="Y74" s="119"/>
      <c r="Z74" s="119"/>
      <c r="AA74" s="119"/>
      <c r="AB74" s="119"/>
      <c r="AC74" s="119"/>
      <c r="AD74" s="119"/>
      <c r="AE74" s="119"/>
      <c r="AF74" s="119"/>
      <c r="AG74" s="119"/>
      <c r="AH74" s="119"/>
      <c r="AI74" s="119"/>
      <c r="AJ74" s="119"/>
      <c r="AK74" s="119"/>
      <c r="AL74" s="119"/>
      <c r="AM74" s="119"/>
      <c r="AN74" s="119"/>
      <c r="AO74" s="119"/>
      <c r="AP74" s="119"/>
      <c r="AQ74" s="119"/>
      <c r="AR74" s="119"/>
      <c r="AS74" s="119"/>
      <c r="AT74" s="119"/>
      <c r="AU74" s="119"/>
      <c r="AV74" s="119"/>
      <c r="AW74" s="119"/>
      <c r="AX74" s="119"/>
      <c r="AY74" s="119"/>
      <c r="AZ74" s="119"/>
      <c r="BA74" s="119"/>
      <c r="BB74" s="119"/>
      <c r="BC74" s="119"/>
      <c r="BD74" s="119"/>
      <c r="BE74" s="119"/>
      <c r="BF74" s="119"/>
      <c r="BG74" s="119"/>
      <c r="BH74" s="119"/>
      <c r="BI74" s="119"/>
      <c r="BJ74" s="119"/>
      <c r="BK74" s="119"/>
      <c r="BL74" s="119"/>
      <c r="BM74" s="119"/>
      <c r="BN74" s="119"/>
      <c r="BO74" s="119"/>
      <c r="BP74" s="119"/>
      <c r="BQ74" s="119"/>
      <c r="BR74" s="119"/>
      <c r="BS74" s="119"/>
      <c r="BT74" s="119"/>
      <c r="BU74" s="119"/>
      <c r="BV74" s="119"/>
      <c r="BW74" s="119"/>
      <c r="BX74" s="119"/>
      <c r="BY74" s="119"/>
      <c r="BZ74" s="119"/>
      <c r="CA74" s="119"/>
      <c r="CB74" s="119"/>
      <c r="CC74" s="119"/>
      <c r="CD74" s="119"/>
      <c r="CE74" s="119"/>
      <c r="CF74" s="119"/>
      <c r="CG74" s="119"/>
      <c r="CH74" s="119"/>
      <c r="CI74" s="119"/>
      <c r="CJ74" s="119"/>
      <c r="CK74" s="119"/>
      <c r="CL74" s="119"/>
      <c r="CM74" s="119"/>
      <c r="CN74" s="119"/>
      <c r="CO74" s="119"/>
      <c r="CP74" s="119"/>
      <c r="CQ74" s="119"/>
      <c r="CR74" s="119"/>
      <c r="CS74" s="119"/>
      <c r="CT74" s="119"/>
      <c r="CU74" s="119"/>
      <c r="CV74" s="119"/>
      <c r="CW74" s="119"/>
      <c r="CX74" s="119"/>
      <c r="CY74" s="119"/>
      <c r="CZ74" s="119"/>
      <c r="DA74" s="119"/>
      <c r="DB74" s="119"/>
      <c r="DC74" s="119"/>
      <c r="DD74" s="119"/>
      <c r="DE74" s="119"/>
      <c r="DF74" s="119"/>
      <c r="DG74" s="119"/>
      <c r="DH74" s="119"/>
      <c r="DI74" s="119"/>
      <c r="DJ74" s="119"/>
      <c r="DK74" s="119"/>
      <c r="DL74" s="119"/>
      <c r="DM74" s="119"/>
      <c r="DN74" s="119"/>
      <c r="DO74" s="119"/>
      <c r="DP74" s="119"/>
      <c r="DQ74" s="119"/>
      <c r="DR74" s="119"/>
      <c r="DS74" s="119"/>
      <c r="DT74" s="119"/>
      <c r="DU74" s="119"/>
      <c r="DV74" s="119"/>
      <c r="DW74" s="119"/>
      <c r="DX74" s="119"/>
      <c r="DY74" s="119"/>
      <c r="DZ74" s="119"/>
      <c r="EA74" s="119"/>
      <c r="EB74" s="119"/>
      <c r="EC74" s="119"/>
      <c r="ED74" s="119"/>
      <c r="EE74" s="119"/>
      <c r="EF74" s="119"/>
      <c r="EG74" s="119"/>
      <c r="EH74" s="119"/>
      <c r="EI74" s="119"/>
      <c r="EJ74" s="119"/>
      <c r="EK74" s="119"/>
      <c r="EL74" s="119"/>
      <c r="EM74" s="119"/>
      <c r="EN74" s="119"/>
      <c r="EO74" s="119"/>
      <c r="EP74" s="119"/>
      <c r="EQ74" s="119"/>
      <c r="ER74" s="119"/>
      <c r="ES74" s="119"/>
      <c r="ET74" s="119"/>
      <c r="EU74" s="119"/>
      <c r="EV74" s="119"/>
      <c r="EW74" s="119"/>
      <c r="EX74" s="119"/>
      <c r="EY74" s="119"/>
      <c r="EZ74" s="119"/>
      <c r="FA74" s="119"/>
      <c r="FB74" s="119"/>
      <c r="FC74" s="119"/>
      <c r="FD74" s="119"/>
      <c r="FE74" s="119"/>
      <c r="FF74" s="119"/>
      <c r="FG74" s="119"/>
      <c r="FH74" s="119"/>
      <c r="FI74" s="119"/>
      <c r="FJ74" s="119"/>
      <c r="FK74" s="119"/>
      <c r="FL74" s="119"/>
      <c r="FM74" s="119"/>
      <c r="FN74" s="119"/>
      <c r="FO74" s="119"/>
      <c r="FP74" s="119"/>
      <c r="FQ74" s="119"/>
      <c r="FR74" s="119"/>
      <c r="FS74" s="119"/>
      <c r="FT74" s="119"/>
      <c r="FU74" s="119"/>
      <c r="FV74" s="119"/>
      <c r="FW74" s="119"/>
      <c r="FX74" s="119"/>
      <c r="FY74" s="119"/>
      <c r="FZ74" s="119"/>
      <c r="GA74" s="119"/>
      <c r="GB74" s="119"/>
      <c r="GC74" s="119"/>
      <c r="GD74" s="119"/>
      <c r="GE74" s="119"/>
      <c r="GF74" s="119"/>
      <c r="GG74" s="119"/>
      <c r="GH74" s="119"/>
      <c r="GI74" s="119"/>
      <c r="GJ74" s="119"/>
      <c r="GK74" s="119"/>
      <c r="GL74" s="119"/>
      <c r="GM74" s="119"/>
      <c r="GN74" s="119"/>
      <c r="GO74" s="119"/>
      <c r="GP74" s="119"/>
      <c r="GQ74" s="119"/>
      <c r="GR74" s="119"/>
      <c r="GS74" s="119"/>
      <c r="GT74" s="119"/>
      <c r="GU74" s="119"/>
      <c r="GV74" s="119"/>
      <c r="GW74" s="119"/>
      <c r="GX74" s="119"/>
      <c r="GY74" s="119"/>
      <c r="GZ74" s="119"/>
      <c r="HA74" s="119"/>
      <c r="HB74" s="119"/>
      <c r="HC74" s="119"/>
      <c r="HD74" s="119"/>
      <c r="HE74" s="119"/>
      <c r="HF74" s="119"/>
      <c r="HG74" s="119"/>
      <c r="HH74" s="119"/>
      <c r="HI74" s="119"/>
      <c r="HJ74" s="119"/>
      <c r="HK74" s="119"/>
      <c r="HL74" s="119"/>
      <c r="HM74" s="119"/>
      <c r="HN74" s="119"/>
      <c r="HO74" s="119"/>
      <c r="HP74" s="119"/>
      <c r="HQ74" s="119"/>
      <c r="HR74" s="119"/>
      <c r="HS74" s="119"/>
      <c r="HT74" s="119"/>
      <c r="HU74" s="119"/>
      <c r="HV74" s="119"/>
      <c r="HW74" s="119"/>
      <c r="HX74" s="119"/>
      <c r="HY74" s="119"/>
      <c r="HZ74" s="119"/>
      <c r="IA74" s="119"/>
      <c r="IB74" s="119"/>
      <c r="IC74" s="119"/>
      <c r="ID74" s="119"/>
      <c r="IE74" s="119"/>
      <c r="IF74" s="119"/>
      <c r="IG74" s="119"/>
      <c r="IH74" s="119"/>
      <c r="II74" s="119"/>
      <c r="IJ74" s="119"/>
      <c r="IK74" s="119"/>
      <c r="IL74" s="119"/>
      <c r="IM74" s="119"/>
      <c r="IN74" s="119"/>
      <c r="IO74" s="119"/>
      <c r="IP74" s="119"/>
      <c r="IQ74" s="119"/>
      <c r="IR74" s="119"/>
      <c r="IS74" s="119"/>
      <c r="IT74" s="119"/>
      <c r="IU74" s="119"/>
      <c r="IV74" s="119"/>
      <c r="IW74" s="119"/>
    </row>
    <row r="75" spans="1:257" s="187" customFormat="1" ht="18" customHeight="1" x14ac:dyDescent="0.35">
      <c r="A75" s="195">
        <v>66</v>
      </c>
      <c r="B75" s="692"/>
      <c r="C75" s="120"/>
      <c r="D75" s="1266" t="s">
        <v>862</v>
      </c>
      <c r="E75" s="127"/>
      <c r="F75" s="127"/>
      <c r="G75" s="693"/>
      <c r="H75" s="240"/>
      <c r="I75" s="559">
        <f t="shared" ref="I75:J75" si="19">SUM(I73:I74)</f>
        <v>28</v>
      </c>
      <c r="J75" s="559">
        <f t="shared" si="19"/>
        <v>10</v>
      </c>
      <c r="K75" s="559">
        <f>SUM(K73:K74)</f>
        <v>2225</v>
      </c>
      <c r="L75" s="559"/>
      <c r="M75" s="559"/>
      <c r="N75" s="1284"/>
      <c r="O75" s="693"/>
      <c r="P75" s="1272">
        <f t="shared" si="18"/>
        <v>2263</v>
      </c>
      <c r="Q75" s="694"/>
      <c r="R75" s="119"/>
      <c r="S75" s="119"/>
      <c r="T75" s="119"/>
      <c r="U75" s="119"/>
      <c r="V75" s="119"/>
      <c r="W75" s="119"/>
      <c r="X75" s="119"/>
      <c r="Y75" s="119"/>
      <c r="Z75" s="119"/>
      <c r="AA75" s="119"/>
      <c r="AB75" s="119"/>
      <c r="AC75" s="119"/>
      <c r="AD75" s="119"/>
      <c r="AE75" s="119"/>
      <c r="AF75" s="119"/>
      <c r="AG75" s="119"/>
      <c r="AH75" s="119"/>
      <c r="AI75" s="119"/>
      <c r="AJ75" s="119"/>
      <c r="AK75" s="119"/>
      <c r="AL75" s="119"/>
      <c r="AM75" s="119"/>
      <c r="AN75" s="119"/>
      <c r="AO75" s="119"/>
      <c r="AP75" s="119"/>
      <c r="AQ75" s="119"/>
      <c r="AR75" s="119"/>
      <c r="AS75" s="119"/>
      <c r="AT75" s="119"/>
      <c r="AU75" s="119"/>
      <c r="AV75" s="119"/>
      <c r="AW75" s="119"/>
      <c r="AX75" s="119"/>
      <c r="AY75" s="119"/>
      <c r="AZ75" s="119"/>
      <c r="BA75" s="119"/>
      <c r="BB75" s="119"/>
      <c r="BC75" s="119"/>
      <c r="BD75" s="119"/>
      <c r="BE75" s="119"/>
      <c r="BF75" s="119"/>
      <c r="BG75" s="119"/>
      <c r="BH75" s="119"/>
      <c r="BI75" s="119"/>
      <c r="BJ75" s="119"/>
      <c r="BK75" s="119"/>
      <c r="BL75" s="119"/>
      <c r="BM75" s="119"/>
      <c r="BN75" s="119"/>
      <c r="BO75" s="119"/>
      <c r="BP75" s="119"/>
      <c r="BQ75" s="119"/>
      <c r="BR75" s="119"/>
      <c r="BS75" s="119"/>
      <c r="BT75" s="119"/>
      <c r="BU75" s="119"/>
      <c r="BV75" s="119"/>
      <c r="BW75" s="119"/>
      <c r="BX75" s="119"/>
      <c r="BY75" s="119"/>
      <c r="BZ75" s="119"/>
      <c r="CA75" s="119"/>
      <c r="CB75" s="119"/>
      <c r="CC75" s="119"/>
      <c r="CD75" s="119"/>
      <c r="CE75" s="119"/>
      <c r="CF75" s="119"/>
      <c r="CG75" s="119"/>
      <c r="CH75" s="119"/>
      <c r="CI75" s="119"/>
      <c r="CJ75" s="119"/>
      <c r="CK75" s="119"/>
      <c r="CL75" s="119"/>
      <c r="CM75" s="119"/>
      <c r="CN75" s="119"/>
      <c r="CO75" s="119"/>
      <c r="CP75" s="119"/>
      <c r="CQ75" s="119"/>
      <c r="CR75" s="119"/>
      <c r="CS75" s="119"/>
      <c r="CT75" s="119"/>
      <c r="CU75" s="119"/>
      <c r="CV75" s="119"/>
      <c r="CW75" s="119"/>
      <c r="CX75" s="119"/>
      <c r="CY75" s="119"/>
      <c r="CZ75" s="119"/>
      <c r="DA75" s="119"/>
      <c r="DB75" s="119"/>
      <c r="DC75" s="119"/>
      <c r="DD75" s="119"/>
      <c r="DE75" s="119"/>
      <c r="DF75" s="119"/>
      <c r="DG75" s="119"/>
      <c r="DH75" s="119"/>
      <c r="DI75" s="119"/>
      <c r="DJ75" s="119"/>
      <c r="DK75" s="119"/>
      <c r="DL75" s="119"/>
      <c r="DM75" s="119"/>
      <c r="DN75" s="119"/>
      <c r="DO75" s="119"/>
      <c r="DP75" s="119"/>
      <c r="DQ75" s="119"/>
      <c r="DR75" s="119"/>
      <c r="DS75" s="119"/>
      <c r="DT75" s="119"/>
      <c r="DU75" s="119"/>
      <c r="DV75" s="119"/>
      <c r="DW75" s="119"/>
      <c r="DX75" s="119"/>
      <c r="DY75" s="119"/>
      <c r="DZ75" s="119"/>
      <c r="EA75" s="119"/>
      <c r="EB75" s="119"/>
      <c r="EC75" s="119"/>
      <c r="ED75" s="119"/>
      <c r="EE75" s="119"/>
      <c r="EF75" s="119"/>
      <c r="EG75" s="119"/>
      <c r="EH75" s="119"/>
      <c r="EI75" s="119"/>
      <c r="EJ75" s="119"/>
      <c r="EK75" s="119"/>
      <c r="EL75" s="119"/>
      <c r="EM75" s="119"/>
      <c r="EN75" s="119"/>
      <c r="EO75" s="119"/>
      <c r="EP75" s="119"/>
      <c r="EQ75" s="119"/>
      <c r="ER75" s="119"/>
      <c r="ES75" s="119"/>
      <c r="ET75" s="119"/>
      <c r="EU75" s="119"/>
      <c r="EV75" s="119"/>
      <c r="EW75" s="119"/>
      <c r="EX75" s="119"/>
      <c r="EY75" s="119"/>
      <c r="EZ75" s="119"/>
      <c r="FA75" s="119"/>
      <c r="FB75" s="119"/>
      <c r="FC75" s="119"/>
      <c r="FD75" s="119"/>
      <c r="FE75" s="119"/>
      <c r="FF75" s="119"/>
      <c r="FG75" s="119"/>
      <c r="FH75" s="119"/>
      <c r="FI75" s="119"/>
      <c r="FJ75" s="119"/>
      <c r="FK75" s="119"/>
      <c r="FL75" s="119"/>
      <c r="FM75" s="119"/>
      <c r="FN75" s="119"/>
      <c r="FO75" s="119"/>
      <c r="FP75" s="119"/>
      <c r="FQ75" s="119"/>
      <c r="FR75" s="119"/>
      <c r="FS75" s="119"/>
      <c r="FT75" s="119"/>
      <c r="FU75" s="119"/>
      <c r="FV75" s="119"/>
      <c r="FW75" s="119"/>
      <c r="FX75" s="119"/>
      <c r="FY75" s="119"/>
      <c r="FZ75" s="119"/>
      <c r="GA75" s="119"/>
      <c r="GB75" s="119"/>
      <c r="GC75" s="119"/>
      <c r="GD75" s="119"/>
      <c r="GE75" s="119"/>
      <c r="GF75" s="119"/>
      <c r="GG75" s="119"/>
      <c r="GH75" s="119"/>
      <c r="GI75" s="119"/>
      <c r="GJ75" s="119"/>
      <c r="GK75" s="119"/>
      <c r="GL75" s="119"/>
      <c r="GM75" s="119"/>
      <c r="GN75" s="119"/>
      <c r="GO75" s="119"/>
      <c r="GP75" s="119"/>
      <c r="GQ75" s="119"/>
      <c r="GR75" s="119"/>
      <c r="GS75" s="119"/>
      <c r="GT75" s="119"/>
      <c r="GU75" s="119"/>
      <c r="GV75" s="119"/>
      <c r="GW75" s="119"/>
      <c r="GX75" s="119"/>
      <c r="GY75" s="119"/>
      <c r="GZ75" s="119"/>
      <c r="HA75" s="119"/>
      <c r="HB75" s="119"/>
      <c r="HC75" s="119"/>
      <c r="HD75" s="119"/>
      <c r="HE75" s="119"/>
      <c r="HF75" s="119"/>
      <c r="HG75" s="119"/>
      <c r="HH75" s="119"/>
      <c r="HI75" s="119"/>
      <c r="HJ75" s="119"/>
      <c r="HK75" s="119"/>
      <c r="HL75" s="119"/>
      <c r="HM75" s="119"/>
      <c r="HN75" s="119"/>
      <c r="HO75" s="119"/>
      <c r="HP75" s="119"/>
      <c r="HQ75" s="119"/>
      <c r="HR75" s="119"/>
      <c r="HS75" s="119"/>
      <c r="HT75" s="119"/>
      <c r="HU75" s="119"/>
      <c r="HV75" s="119"/>
      <c r="HW75" s="119"/>
      <c r="HX75" s="119"/>
      <c r="HY75" s="119"/>
      <c r="HZ75" s="119"/>
      <c r="IA75" s="119"/>
      <c r="IB75" s="119"/>
      <c r="IC75" s="119"/>
      <c r="ID75" s="119"/>
      <c r="IE75" s="119"/>
      <c r="IF75" s="119"/>
      <c r="IG75" s="119"/>
      <c r="IH75" s="119"/>
      <c r="II75" s="119"/>
      <c r="IJ75" s="119"/>
      <c r="IK75" s="119"/>
      <c r="IL75" s="119"/>
      <c r="IM75" s="119"/>
      <c r="IN75" s="119"/>
      <c r="IO75" s="119"/>
      <c r="IP75" s="119"/>
      <c r="IQ75" s="119"/>
      <c r="IR75" s="119"/>
      <c r="IS75" s="119"/>
      <c r="IT75" s="119"/>
      <c r="IU75" s="119"/>
      <c r="IV75" s="119"/>
      <c r="IW75" s="119"/>
    </row>
    <row r="76" spans="1:257" s="187" customFormat="1" ht="31.5" customHeight="1" x14ac:dyDescent="0.35">
      <c r="A76" s="195">
        <v>67</v>
      </c>
      <c r="B76" s="192"/>
      <c r="C76" s="133">
        <v>30</v>
      </c>
      <c r="D76" s="1815" t="s">
        <v>1009</v>
      </c>
      <c r="E76" s="547">
        <f>F76+G76+P80+Q77</f>
        <v>9280000</v>
      </c>
      <c r="F76" s="695">
        <f>324476+484396+427002+450929+50000+2832016+35972</f>
        <v>4604791</v>
      </c>
      <c r="G76" s="552">
        <v>102334</v>
      </c>
      <c r="H76" s="578" t="s">
        <v>24</v>
      </c>
      <c r="I76" s="275"/>
      <c r="J76" s="275"/>
      <c r="K76" s="275"/>
      <c r="L76" s="275"/>
      <c r="M76" s="275"/>
      <c r="N76" s="686"/>
      <c r="O76" s="1784"/>
      <c r="P76" s="217"/>
      <c r="Q76" s="694"/>
      <c r="R76" s="119"/>
      <c r="S76" s="119"/>
      <c r="T76" s="119"/>
      <c r="U76" s="119"/>
      <c r="V76" s="119"/>
      <c r="W76" s="119"/>
      <c r="X76" s="119"/>
      <c r="Y76" s="119"/>
      <c r="Z76" s="119"/>
      <c r="AA76" s="119"/>
      <c r="AB76" s="119"/>
      <c r="AC76" s="119"/>
      <c r="AD76" s="119"/>
      <c r="AE76" s="119"/>
      <c r="AF76" s="119"/>
      <c r="AG76" s="119"/>
      <c r="AH76" s="119"/>
      <c r="AI76" s="119"/>
      <c r="AJ76" s="119"/>
      <c r="AK76" s="119"/>
      <c r="AL76" s="119"/>
      <c r="AM76" s="119"/>
      <c r="AN76" s="119"/>
      <c r="AO76" s="119"/>
      <c r="AP76" s="119"/>
      <c r="AQ76" s="119"/>
      <c r="AR76" s="119"/>
      <c r="AS76" s="119"/>
      <c r="AT76" s="119"/>
      <c r="AU76" s="119"/>
      <c r="AV76" s="119"/>
      <c r="AW76" s="119"/>
      <c r="AX76" s="119"/>
      <c r="AY76" s="119"/>
      <c r="AZ76" s="119"/>
      <c r="BA76" s="119"/>
      <c r="BB76" s="119"/>
      <c r="BC76" s="119"/>
      <c r="BD76" s="119"/>
      <c r="BE76" s="119"/>
      <c r="BF76" s="119"/>
      <c r="BG76" s="119"/>
      <c r="BH76" s="119"/>
      <c r="BI76" s="119"/>
      <c r="BJ76" s="119"/>
      <c r="BK76" s="119"/>
      <c r="BL76" s="119"/>
      <c r="BM76" s="119"/>
      <c r="BN76" s="119"/>
      <c r="BO76" s="119"/>
      <c r="BP76" s="119"/>
      <c r="BQ76" s="119"/>
      <c r="BR76" s="119"/>
      <c r="BS76" s="119"/>
      <c r="BT76" s="119"/>
      <c r="BU76" s="119"/>
      <c r="BV76" s="119"/>
      <c r="BW76" s="119"/>
      <c r="BX76" s="119"/>
      <c r="BY76" s="119"/>
      <c r="BZ76" s="119"/>
      <c r="CA76" s="119"/>
      <c r="CB76" s="119"/>
      <c r="CC76" s="119"/>
      <c r="CD76" s="119"/>
      <c r="CE76" s="119"/>
      <c r="CF76" s="119"/>
      <c r="CG76" s="119"/>
      <c r="CH76" s="119"/>
      <c r="CI76" s="119"/>
      <c r="CJ76" s="119"/>
      <c r="CK76" s="119"/>
      <c r="CL76" s="119"/>
      <c r="CM76" s="119"/>
      <c r="CN76" s="119"/>
      <c r="CO76" s="119"/>
      <c r="CP76" s="119"/>
      <c r="CQ76" s="119"/>
      <c r="CR76" s="119"/>
      <c r="CS76" s="119"/>
      <c r="CT76" s="119"/>
      <c r="CU76" s="119"/>
      <c r="CV76" s="119"/>
      <c r="CW76" s="119"/>
      <c r="CX76" s="119"/>
      <c r="CY76" s="119"/>
      <c r="CZ76" s="119"/>
      <c r="DA76" s="119"/>
      <c r="DB76" s="119"/>
      <c r="DC76" s="119"/>
      <c r="DD76" s="119"/>
      <c r="DE76" s="119"/>
      <c r="DF76" s="119"/>
      <c r="DG76" s="119"/>
      <c r="DH76" s="119"/>
      <c r="DI76" s="119"/>
      <c r="DJ76" s="119"/>
      <c r="DK76" s="119"/>
      <c r="DL76" s="119"/>
      <c r="DM76" s="119"/>
      <c r="DN76" s="119"/>
      <c r="DO76" s="119"/>
      <c r="DP76" s="119"/>
      <c r="DQ76" s="119"/>
      <c r="DR76" s="119"/>
      <c r="DS76" s="119"/>
      <c r="DT76" s="119"/>
      <c r="DU76" s="119"/>
      <c r="DV76" s="119"/>
      <c r="DW76" s="119"/>
      <c r="DX76" s="119"/>
      <c r="DY76" s="119"/>
      <c r="DZ76" s="119"/>
      <c r="EA76" s="119"/>
      <c r="EB76" s="119"/>
      <c r="EC76" s="119"/>
      <c r="ED76" s="119"/>
      <c r="EE76" s="119"/>
      <c r="EF76" s="119"/>
      <c r="EG76" s="119"/>
      <c r="EH76" s="119"/>
      <c r="EI76" s="119"/>
      <c r="EJ76" s="119"/>
      <c r="EK76" s="119"/>
      <c r="EL76" s="119"/>
      <c r="EM76" s="119"/>
      <c r="EN76" s="119"/>
      <c r="EO76" s="119"/>
      <c r="EP76" s="119"/>
      <c r="EQ76" s="119"/>
      <c r="ER76" s="119"/>
      <c r="ES76" s="119"/>
      <c r="ET76" s="119"/>
      <c r="EU76" s="119"/>
      <c r="EV76" s="119"/>
      <c r="EW76" s="119"/>
      <c r="EX76" s="119"/>
      <c r="EY76" s="119"/>
      <c r="EZ76" s="119"/>
      <c r="FA76" s="119"/>
      <c r="FB76" s="119"/>
      <c r="FC76" s="119"/>
      <c r="FD76" s="119"/>
      <c r="FE76" s="119"/>
      <c r="FF76" s="119"/>
      <c r="FG76" s="119"/>
      <c r="FH76" s="119"/>
      <c r="FI76" s="119"/>
      <c r="FJ76" s="119"/>
      <c r="FK76" s="119"/>
      <c r="FL76" s="119"/>
      <c r="FM76" s="119"/>
      <c r="FN76" s="119"/>
      <c r="FO76" s="119"/>
      <c r="FP76" s="119"/>
      <c r="FQ76" s="119"/>
      <c r="FR76" s="119"/>
      <c r="FS76" s="119"/>
      <c r="FT76" s="119"/>
      <c r="FU76" s="119"/>
      <c r="FV76" s="119"/>
      <c r="FW76" s="119"/>
      <c r="FX76" s="119"/>
      <c r="FY76" s="119"/>
      <c r="FZ76" s="119"/>
      <c r="GA76" s="119"/>
      <c r="GB76" s="119"/>
      <c r="GC76" s="119"/>
      <c r="GD76" s="119"/>
      <c r="GE76" s="119"/>
      <c r="GF76" s="119"/>
      <c r="GG76" s="119"/>
      <c r="GH76" s="119"/>
      <c r="GI76" s="119"/>
      <c r="GJ76" s="119"/>
      <c r="GK76" s="119"/>
      <c r="GL76" s="119"/>
      <c r="GM76" s="119"/>
      <c r="GN76" s="119"/>
      <c r="GO76" s="119"/>
      <c r="GP76" s="119"/>
      <c r="GQ76" s="119"/>
      <c r="GR76" s="119"/>
      <c r="GS76" s="119"/>
      <c r="GT76" s="119"/>
      <c r="GU76" s="119"/>
      <c r="GV76" s="119"/>
      <c r="GW76" s="119"/>
      <c r="GX76" s="119"/>
      <c r="GY76" s="119"/>
      <c r="GZ76" s="119"/>
      <c r="HA76" s="119"/>
      <c r="HB76" s="119"/>
      <c r="HC76" s="119"/>
      <c r="HD76" s="119"/>
      <c r="HE76" s="119"/>
      <c r="HF76" s="119"/>
      <c r="HG76" s="119"/>
      <c r="HH76" s="119"/>
      <c r="HI76" s="119"/>
      <c r="HJ76" s="119"/>
      <c r="HK76" s="119"/>
      <c r="HL76" s="119"/>
      <c r="HM76" s="119"/>
      <c r="HN76" s="119"/>
      <c r="HO76" s="119"/>
      <c r="HP76" s="119"/>
      <c r="HQ76" s="119"/>
      <c r="HR76" s="119"/>
      <c r="HS76" s="119"/>
      <c r="HT76" s="119"/>
      <c r="HU76" s="119"/>
      <c r="HV76" s="119"/>
      <c r="HW76" s="119"/>
      <c r="HX76" s="119"/>
      <c r="HY76" s="119"/>
      <c r="HZ76" s="119"/>
      <c r="IA76" s="119"/>
      <c r="IB76" s="119"/>
      <c r="IC76" s="119"/>
      <c r="ID76" s="119"/>
      <c r="IE76" s="119"/>
      <c r="IF76" s="119"/>
      <c r="IG76" s="119"/>
      <c r="IH76" s="119"/>
      <c r="II76" s="119"/>
      <c r="IJ76" s="119"/>
      <c r="IK76" s="119"/>
      <c r="IL76" s="119"/>
      <c r="IM76" s="119"/>
      <c r="IN76" s="119"/>
      <c r="IO76" s="119"/>
      <c r="IP76" s="119"/>
      <c r="IQ76" s="119"/>
      <c r="IR76" s="119"/>
      <c r="IS76" s="119"/>
      <c r="IT76" s="119"/>
      <c r="IU76" s="119"/>
      <c r="IV76" s="119"/>
      <c r="IW76" s="119"/>
    </row>
    <row r="77" spans="1:257" s="187" customFormat="1" ht="18" customHeight="1" x14ac:dyDescent="0.35">
      <c r="A77" s="195">
        <v>68</v>
      </c>
      <c r="B77" s="192"/>
      <c r="C77" s="120"/>
      <c r="D77" s="218" t="s">
        <v>245</v>
      </c>
      <c r="E77" s="547"/>
      <c r="F77" s="695"/>
      <c r="G77" s="552"/>
      <c r="H77" s="224"/>
      <c r="I77" s="275"/>
      <c r="J77" s="275"/>
      <c r="K77" s="220">
        <v>1788</v>
      </c>
      <c r="L77" s="220"/>
      <c r="M77" s="220">
        <v>4571087</v>
      </c>
      <c r="N77" s="686"/>
      <c r="O77" s="1784"/>
      <c r="P77" s="217">
        <f>SUM(I77:N77)</f>
        <v>4572875</v>
      </c>
      <c r="Q77" s="694"/>
      <c r="R77" s="119"/>
      <c r="S77" s="119"/>
      <c r="T77" s="119"/>
      <c r="U77" s="119"/>
      <c r="V77" s="119"/>
      <c r="W77" s="119"/>
      <c r="X77" s="119"/>
      <c r="Y77" s="119"/>
      <c r="Z77" s="119"/>
      <c r="AA77" s="119"/>
      <c r="AB77" s="119"/>
      <c r="AC77" s="119"/>
      <c r="AD77" s="119"/>
      <c r="AE77" s="119"/>
      <c r="AF77" s="119"/>
      <c r="AG77" s="119"/>
      <c r="AH77" s="119"/>
      <c r="AI77" s="119"/>
      <c r="AJ77" s="119"/>
      <c r="AK77" s="119"/>
      <c r="AL77" s="119"/>
      <c r="AM77" s="119"/>
      <c r="AN77" s="119"/>
      <c r="AO77" s="119"/>
      <c r="AP77" s="119"/>
      <c r="AQ77" s="119"/>
      <c r="AR77" s="119"/>
      <c r="AS77" s="119"/>
      <c r="AT77" s="119"/>
      <c r="AU77" s="119"/>
      <c r="AV77" s="119"/>
      <c r="AW77" s="119"/>
      <c r="AX77" s="119"/>
      <c r="AY77" s="119"/>
      <c r="AZ77" s="119"/>
      <c r="BA77" s="119"/>
      <c r="BB77" s="119"/>
      <c r="BC77" s="119"/>
      <c r="BD77" s="119"/>
      <c r="BE77" s="119"/>
      <c r="BF77" s="119"/>
      <c r="BG77" s="119"/>
      <c r="BH77" s="119"/>
      <c r="BI77" s="119"/>
      <c r="BJ77" s="119"/>
      <c r="BK77" s="119"/>
      <c r="BL77" s="119"/>
      <c r="BM77" s="119"/>
      <c r="BN77" s="119"/>
      <c r="BO77" s="119"/>
      <c r="BP77" s="119"/>
      <c r="BQ77" s="119"/>
      <c r="BR77" s="119"/>
      <c r="BS77" s="119"/>
      <c r="BT77" s="119"/>
      <c r="BU77" s="119"/>
      <c r="BV77" s="119"/>
      <c r="BW77" s="119"/>
      <c r="BX77" s="119"/>
      <c r="BY77" s="119"/>
      <c r="BZ77" s="119"/>
      <c r="CA77" s="119"/>
      <c r="CB77" s="119"/>
      <c r="CC77" s="119"/>
      <c r="CD77" s="119"/>
      <c r="CE77" s="119"/>
      <c r="CF77" s="119"/>
      <c r="CG77" s="119"/>
      <c r="CH77" s="119"/>
      <c r="CI77" s="119"/>
      <c r="CJ77" s="119"/>
      <c r="CK77" s="119"/>
      <c r="CL77" s="119"/>
      <c r="CM77" s="119"/>
      <c r="CN77" s="119"/>
      <c r="CO77" s="119"/>
      <c r="CP77" s="119"/>
      <c r="CQ77" s="119"/>
      <c r="CR77" s="119"/>
      <c r="CS77" s="119"/>
      <c r="CT77" s="119"/>
      <c r="CU77" s="119"/>
      <c r="CV77" s="119"/>
      <c r="CW77" s="119"/>
      <c r="CX77" s="119"/>
      <c r="CY77" s="119"/>
      <c r="CZ77" s="119"/>
      <c r="DA77" s="119"/>
      <c r="DB77" s="119"/>
      <c r="DC77" s="119"/>
      <c r="DD77" s="119"/>
      <c r="DE77" s="119"/>
      <c r="DF77" s="119"/>
      <c r="DG77" s="119"/>
      <c r="DH77" s="119"/>
      <c r="DI77" s="119"/>
      <c r="DJ77" s="119"/>
      <c r="DK77" s="119"/>
      <c r="DL77" s="119"/>
      <c r="DM77" s="119"/>
      <c r="DN77" s="119"/>
      <c r="DO77" s="119"/>
      <c r="DP77" s="119"/>
      <c r="DQ77" s="119"/>
      <c r="DR77" s="119"/>
      <c r="DS77" s="119"/>
      <c r="DT77" s="119"/>
      <c r="DU77" s="119"/>
      <c r="DV77" s="119"/>
      <c r="DW77" s="119"/>
      <c r="DX77" s="119"/>
      <c r="DY77" s="119"/>
      <c r="DZ77" s="119"/>
      <c r="EA77" s="119"/>
      <c r="EB77" s="119"/>
      <c r="EC77" s="119"/>
      <c r="ED77" s="119"/>
      <c r="EE77" s="119"/>
      <c r="EF77" s="119"/>
      <c r="EG77" s="119"/>
      <c r="EH77" s="119"/>
      <c r="EI77" s="119"/>
      <c r="EJ77" s="119"/>
      <c r="EK77" s="119"/>
      <c r="EL77" s="119"/>
      <c r="EM77" s="119"/>
      <c r="EN77" s="119"/>
      <c r="EO77" s="119"/>
      <c r="EP77" s="119"/>
      <c r="EQ77" s="119"/>
      <c r="ER77" s="119"/>
      <c r="ES77" s="119"/>
      <c r="ET77" s="119"/>
      <c r="EU77" s="119"/>
      <c r="EV77" s="119"/>
      <c r="EW77" s="119"/>
      <c r="EX77" s="119"/>
      <c r="EY77" s="119"/>
      <c r="EZ77" s="119"/>
      <c r="FA77" s="119"/>
      <c r="FB77" s="119"/>
      <c r="FC77" s="119"/>
      <c r="FD77" s="119"/>
      <c r="FE77" s="119"/>
      <c r="FF77" s="119"/>
      <c r="FG77" s="119"/>
      <c r="FH77" s="119"/>
      <c r="FI77" s="119"/>
      <c r="FJ77" s="119"/>
      <c r="FK77" s="119"/>
      <c r="FL77" s="119"/>
      <c r="FM77" s="119"/>
      <c r="FN77" s="119"/>
      <c r="FO77" s="119"/>
      <c r="FP77" s="119"/>
      <c r="FQ77" s="119"/>
      <c r="FR77" s="119"/>
      <c r="FS77" s="119"/>
      <c r="FT77" s="119"/>
      <c r="FU77" s="119"/>
      <c r="FV77" s="119"/>
      <c r="FW77" s="119"/>
      <c r="FX77" s="119"/>
      <c r="FY77" s="119"/>
      <c r="FZ77" s="119"/>
      <c r="GA77" s="119"/>
      <c r="GB77" s="119"/>
      <c r="GC77" s="119"/>
      <c r="GD77" s="119"/>
      <c r="GE77" s="119"/>
      <c r="GF77" s="119"/>
      <c r="GG77" s="119"/>
      <c r="GH77" s="119"/>
      <c r="GI77" s="119"/>
      <c r="GJ77" s="119"/>
      <c r="GK77" s="119"/>
      <c r="GL77" s="119"/>
      <c r="GM77" s="119"/>
      <c r="GN77" s="119"/>
      <c r="GO77" s="119"/>
      <c r="GP77" s="119"/>
      <c r="GQ77" s="119"/>
      <c r="GR77" s="119"/>
      <c r="GS77" s="119"/>
      <c r="GT77" s="119"/>
      <c r="GU77" s="119"/>
      <c r="GV77" s="119"/>
      <c r="GW77" s="119"/>
      <c r="GX77" s="119"/>
      <c r="GY77" s="119"/>
      <c r="GZ77" s="119"/>
      <c r="HA77" s="119"/>
      <c r="HB77" s="119"/>
      <c r="HC77" s="119"/>
      <c r="HD77" s="119"/>
      <c r="HE77" s="119"/>
      <c r="HF77" s="119"/>
      <c r="HG77" s="119"/>
      <c r="HH77" s="119"/>
      <c r="HI77" s="119"/>
      <c r="HJ77" s="119"/>
      <c r="HK77" s="119"/>
      <c r="HL77" s="119"/>
      <c r="HM77" s="119"/>
      <c r="HN77" s="119"/>
      <c r="HO77" s="119"/>
      <c r="HP77" s="119"/>
      <c r="HQ77" s="119"/>
      <c r="HR77" s="119"/>
      <c r="HS77" s="119"/>
      <c r="HT77" s="119"/>
      <c r="HU77" s="119"/>
      <c r="HV77" s="119"/>
      <c r="HW77" s="119"/>
      <c r="HX77" s="119"/>
      <c r="HY77" s="119"/>
      <c r="HZ77" s="119"/>
      <c r="IA77" s="119"/>
      <c r="IB77" s="119"/>
      <c r="IC77" s="119"/>
      <c r="ID77" s="119"/>
      <c r="IE77" s="119"/>
      <c r="IF77" s="119"/>
      <c r="IG77" s="119"/>
      <c r="IH77" s="119"/>
      <c r="II77" s="119"/>
      <c r="IJ77" s="119"/>
      <c r="IK77" s="119"/>
      <c r="IL77" s="119"/>
      <c r="IM77" s="119"/>
      <c r="IN77" s="119"/>
      <c r="IO77" s="119"/>
      <c r="IP77" s="119"/>
      <c r="IQ77" s="119"/>
      <c r="IR77" s="119"/>
      <c r="IS77" s="119"/>
      <c r="IT77" s="119"/>
      <c r="IU77" s="119"/>
      <c r="IV77" s="119"/>
      <c r="IW77" s="119"/>
    </row>
    <row r="78" spans="1:257" s="187" customFormat="1" ht="18" customHeight="1" x14ac:dyDescent="0.35">
      <c r="A78" s="195">
        <v>69</v>
      </c>
      <c r="B78" s="192"/>
      <c r="C78" s="120"/>
      <c r="D78" s="1266" t="s">
        <v>808</v>
      </c>
      <c r="E78" s="547"/>
      <c r="F78" s="695"/>
      <c r="G78" s="552"/>
      <c r="H78" s="240"/>
      <c r="I78" s="275"/>
      <c r="J78" s="275"/>
      <c r="K78" s="1285">
        <v>8138</v>
      </c>
      <c r="L78" s="1285"/>
      <c r="M78" s="1285">
        <v>4564737</v>
      </c>
      <c r="N78" s="1284"/>
      <c r="O78" s="693"/>
      <c r="P78" s="1272">
        <f>SUM(I78:N78)</f>
        <v>4572875</v>
      </c>
      <c r="Q78" s="694"/>
      <c r="R78" s="119"/>
      <c r="S78" s="119"/>
      <c r="T78" s="119"/>
      <c r="U78" s="119"/>
      <c r="V78" s="119"/>
      <c r="W78" s="119"/>
      <c r="X78" s="119"/>
      <c r="Y78" s="119"/>
      <c r="Z78" s="119"/>
      <c r="AA78" s="119"/>
      <c r="AB78" s="119"/>
      <c r="AC78" s="119"/>
      <c r="AD78" s="119"/>
      <c r="AE78" s="119"/>
      <c r="AF78" s="119"/>
      <c r="AG78" s="119"/>
      <c r="AH78" s="119"/>
      <c r="AI78" s="119"/>
      <c r="AJ78" s="119"/>
      <c r="AK78" s="119"/>
      <c r="AL78" s="119"/>
      <c r="AM78" s="119"/>
      <c r="AN78" s="119"/>
      <c r="AO78" s="119"/>
      <c r="AP78" s="119"/>
      <c r="AQ78" s="119"/>
      <c r="AR78" s="119"/>
      <c r="AS78" s="119"/>
      <c r="AT78" s="119"/>
      <c r="AU78" s="119"/>
      <c r="AV78" s="119"/>
      <c r="AW78" s="119"/>
      <c r="AX78" s="119"/>
      <c r="AY78" s="119"/>
      <c r="AZ78" s="119"/>
      <c r="BA78" s="119"/>
      <c r="BB78" s="119"/>
      <c r="BC78" s="119"/>
      <c r="BD78" s="119"/>
      <c r="BE78" s="119"/>
      <c r="BF78" s="119"/>
      <c r="BG78" s="119"/>
      <c r="BH78" s="119"/>
      <c r="BI78" s="119"/>
      <c r="BJ78" s="119"/>
      <c r="BK78" s="119"/>
      <c r="BL78" s="119"/>
      <c r="BM78" s="119"/>
      <c r="BN78" s="119"/>
      <c r="BO78" s="119"/>
      <c r="BP78" s="119"/>
      <c r="BQ78" s="119"/>
      <c r="BR78" s="119"/>
      <c r="BS78" s="119"/>
      <c r="BT78" s="119"/>
      <c r="BU78" s="119"/>
      <c r="BV78" s="119"/>
      <c r="BW78" s="119"/>
      <c r="BX78" s="119"/>
      <c r="BY78" s="119"/>
      <c r="BZ78" s="119"/>
      <c r="CA78" s="119"/>
      <c r="CB78" s="119"/>
      <c r="CC78" s="119"/>
      <c r="CD78" s="119"/>
      <c r="CE78" s="119"/>
      <c r="CF78" s="119"/>
      <c r="CG78" s="119"/>
      <c r="CH78" s="119"/>
      <c r="CI78" s="119"/>
      <c r="CJ78" s="119"/>
      <c r="CK78" s="119"/>
      <c r="CL78" s="119"/>
      <c r="CM78" s="119"/>
      <c r="CN78" s="119"/>
      <c r="CO78" s="119"/>
      <c r="CP78" s="119"/>
      <c r="CQ78" s="119"/>
      <c r="CR78" s="119"/>
      <c r="CS78" s="119"/>
      <c r="CT78" s="119"/>
      <c r="CU78" s="119"/>
      <c r="CV78" s="119"/>
      <c r="CW78" s="119"/>
      <c r="CX78" s="119"/>
      <c r="CY78" s="119"/>
      <c r="CZ78" s="119"/>
      <c r="DA78" s="119"/>
      <c r="DB78" s="119"/>
      <c r="DC78" s="119"/>
      <c r="DD78" s="119"/>
      <c r="DE78" s="119"/>
      <c r="DF78" s="119"/>
      <c r="DG78" s="119"/>
      <c r="DH78" s="119"/>
      <c r="DI78" s="119"/>
      <c r="DJ78" s="119"/>
      <c r="DK78" s="119"/>
      <c r="DL78" s="119"/>
      <c r="DM78" s="119"/>
      <c r="DN78" s="119"/>
      <c r="DO78" s="119"/>
      <c r="DP78" s="119"/>
      <c r="DQ78" s="119"/>
      <c r="DR78" s="119"/>
      <c r="DS78" s="119"/>
      <c r="DT78" s="119"/>
      <c r="DU78" s="119"/>
      <c r="DV78" s="119"/>
      <c r="DW78" s="119"/>
      <c r="DX78" s="119"/>
      <c r="DY78" s="119"/>
      <c r="DZ78" s="119"/>
      <c r="EA78" s="119"/>
      <c r="EB78" s="119"/>
      <c r="EC78" s="119"/>
      <c r="ED78" s="119"/>
      <c r="EE78" s="119"/>
      <c r="EF78" s="119"/>
      <c r="EG78" s="119"/>
      <c r="EH78" s="119"/>
      <c r="EI78" s="119"/>
      <c r="EJ78" s="119"/>
      <c r="EK78" s="119"/>
      <c r="EL78" s="119"/>
      <c r="EM78" s="119"/>
      <c r="EN78" s="119"/>
      <c r="EO78" s="119"/>
      <c r="EP78" s="119"/>
      <c r="EQ78" s="119"/>
      <c r="ER78" s="119"/>
      <c r="ES78" s="119"/>
      <c r="ET78" s="119"/>
      <c r="EU78" s="119"/>
      <c r="EV78" s="119"/>
      <c r="EW78" s="119"/>
      <c r="EX78" s="119"/>
      <c r="EY78" s="119"/>
      <c r="EZ78" s="119"/>
      <c r="FA78" s="119"/>
      <c r="FB78" s="119"/>
      <c r="FC78" s="119"/>
      <c r="FD78" s="119"/>
      <c r="FE78" s="119"/>
      <c r="FF78" s="119"/>
      <c r="FG78" s="119"/>
      <c r="FH78" s="119"/>
      <c r="FI78" s="119"/>
      <c r="FJ78" s="119"/>
      <c r="FK78" s="119"/>
      <c r="FL78" s="119"/>
      <c r="FM78" s="119"/>
      <c r="FN78" s="119"/>
      <c r="FO78" s="119"/>
      <c r="FP78" s="119"/>
      <c r="FQ78" s="119"/>
      <c r="FR78" s="119"/>
      <c r="FS78" s="119"/>
      <c r="FT78" s="119"/>
      <c r="FU78" s="119"/>
      <c r="FV78" s="119"/>
      <c r="FW78" s="119"/>
      <c r="FX78" s="119"/>
      <c r="FY78" s="119"/>
      <c r="FZ78" s="119"/>
      <c r="GA78" s="119"/>
      <c r="GB78" s="119"/>
      <c r="GC78" s="119"/>
      <c r="GD78" s="119"/>
      <c r="GE78" s="119"/>
      <c r="GF78" s="119"/>
      <c r="GG78" s="119"/>
      <c r="GH78" s="119"/>
      <c r="GI78" s="119"/>
      <c r="GJ78" s="119"/>
      <c r="GK78" s="119"/>
      <c r="GL78" s="119"/>
      <c r="GM78" s="119"/>
      <c r="GN78" s="119"/>
      <c r="GO78" s="119"/>
      <c r="GP78" s="119"/>
      <c r="GQ78" s="119"/>
      <c r="GR78" s="119"/>
      <c r="GS78" s="119"/>
      <c r="GT78" s="119"/>
      <c r="GU78" s="119"/>
      <c r="GV78" s="119"/>
      <c r="GW78" s="119"/>
      <c r="GX78" s="119"/>
      <c r="GY78" s="119"/>
      <c r="GZ78" s="119"/>
      <c r="HA78" s="119"/>
      <c r="HB78" s="119"/>
      <c r="HC78" s="119"/>
      <c r="HD78" s="119"/>
      <c r="HE78" s="119"/>
      <c r="HF78" s="119"/>
      <c r="HG78" s="119"/>
      <c r="HH78" s="119"/>
      <c r="HI78" s="119"/>
      <c r="HJ78" s="119"/>
      <c r="HK78" s="119"/>
      <c r="HL78" s="119"/>
      <c r="HM78" s="119"/>
      <c r="HN78" s="119"/>
      <c r="HO78" s="119"/>
      <c r="HP78" s="119"/>
      <c r="HQ78" s="119"/>
      <c r="HR78" s="119"/>
      <c r="HS78" s="119"/>
      <c r="HT78" s="119"/>
      <c r="HU78" s="119"/>
      <c r="HV78" s="119"/>
      <c r="HW78" s="119"/>
      <c r="HX78" s="119"/>
      <c r="HY78" s="119"/>
      <c r="HZ78" s="119"/>
      <c r="IA78" s="119"/>
      <c r="IB78" s="119"/>
      <c r="IC78" s="119"/>
      <c r="ID78" s="119"/>
      <c r="IE78" s="119"/>
      <c r="IF78" s="119"/>
      <c r="IG78" s="119"/>
      <c r="IH78" s="119"/>
      <c r="II78" s="119"/>
      <c r="IJ78" s="119"/>
      <c r="IK78" s="119"/>
      <c r="IL78" s="119"/>
      <c r="IM78" s="119"/>
      <c r="IN78" s="119"/>
      <c r="IO78" s="119"/>
      <c r="IP78" s="119"/>
      <c r="IQ78" s="119"/>
      <c r="IR78" s="119"/>
      <c r="IS78" s="119"/>
      <c r="IT78" s="119"/>
      <c r="IU78" s="119"/>
      <c r="IV78" s="119"/>
      <c r="IW78" s="119"/>
    </row>
    <row r="79" spans="1:257" s="187" customFormat="1" ht="18" customHeight="1" x14ac:dyDescent="0.35">
      <c r="A79" s="195">
        <v>70</v>
      </c>
      <c r="B79" s="192"/>
      <c r="C79" s="120"/>
      <c r="D79" s="1265" t="s">
        <v>656</v>
      </c>
      <c r="E79" s="547"/>
      <c r="F79" s="695"/>
      <c r="G79" s="552"/>
      <c r="H79" s="240"/>
      <c r="I79" s="1282"/>
      <c r="J79" s="1282"/>
      <c r="K79" s="1286"/>
      <c r="L79" s="1286"/>
      <c r="M79" s="1286"/>
      <c r="N79" s="1282"/>
      <c r="O79" s="1792"/>
      <c r="P79" s="1274">
        <f t="shared" ref="P79:P80" si="20">SUM(I79:N79)</f>
        <v>0</v>
      </c>
      <c r="Q79" s="694"/>
      <c r="R79" s="119"/>
      <c r="S79" s="119"/>
      <c r="T79" s="119"/>
      <c r="U79" s="119"/>
      <c r="V79" s="119"/>
      <c r="W79" s="119"/>
      <c r="X79" s="119"/>
      <c r="Y79" s="119"/>
      <c r="Z79" s="119"/>
      <c r="AA79" s="119"/>
      <c r="AB79" s="119"/>
      <c r="AC79" s="119"/>
      <c r="AD79" s="119"/>
      <c r="AE79" s="119"/>
      <c r="AF79" s="119"/>
      <c r="AG79" s="119"/>
      <c r="AH79" s="119"/>
      <c r="AI79" s="119"/>
      <c r="AJ79" s="119"/>
      <c r="AK79" s="119"/>
      <c r="AL79" s="119"/>
      <c r="AM79" s="119"/>
      <c r="AN79" s="119"/>
      <c r="AO79" s="119"/>
      <c r="AP79" s="119"/>
      <c r="AQ79" s="119"/>
      <c r="AR79" s="119"/>
      <c r="AS79" s="119"/>
      <c r="AT79" s="119"/>
      <c r="AU79" s="119"/>
      <c r="AV79" s="119"/>
      <c r="AW79" s="119"/>
      <c r="AX79" s="119"/>
      <c r="AY79" s="119"/>
      <c r="AZ79" s="119"/>
      <c r="BA79" s="119"/>
      <c r="BB79" s="119"/>
      <c r="BC79" s="119"/>
      <c r="BD79" s="119"/>
      <c r="BE79" s="119"/>
      <c r="BF79" s="119"/>
      <c r="BG79" s="119"/>
      <c r="BH79" s="119"/>
      <c r="BI79" s="119"/>
      <c r="BJ79" s="119"/>
      <c r="BK79" s="119"/>
      <c r="BL79" s="119"/>
      <c r="BM79" s="119"/>
      <c r="BN79" s="119"/>
      <c r="BO79" s="119"/>
      <c r="BP79" s="119"/>
      <c r="BQ79" s="119"/>
      <c r="BR79" s="119"/>
      <c r="BS79" s="119"/>
      <c r="BT79" s="119"/>
      <c r="BU79" s="119"/>
      <c r="BV79" s="119"/>
      <c r="BW79" s="119"/>
      <c r="BX79" s="119"/>
      <c r="BY79" s="119"/>
      <c r="BZ79" s="119"/>
      <c r="CA79" s="119"/>
      <c r="CB79" s="119"/>
      <c r="CC79" s="119"/>
      <c r="CD79" s="119"/>
      <c r="CE79" s="119"/>
      <c r="CF79" s="119"/>
      <c r="CG79" s="119"/>
      <c r="CH79" s="119"/>
      <c r="CI79" s="119"/>
      <c r="CJ79" s="119"/>
      <c r="CK79" s="119"/>
      <c r="CL79" s="119"/>
      <c r="CM79" s="119"/>
      <c r="CN79" s="119"/>
      <c r="CO79" s="119"/>
      <c r="CP79" s="119"/>
      <c r="CQ79" s="119"/>
      <c r="CR79" s="119"/>
      <c r="CS79" s="119"/>
      <c r="CT79" s="119"/>
      <c r="CU79" s="119"/>
      <c r="CV79" s="119"/>
      <c r="CW79" s="119"/>
      <c r="CX79" s="119"/>
      <c r="CY79" s="119"/>
      <c r="CZ79" s="119"/>
      <c r="DA79" s="119"/>
      <c r="DB79" s="119"/>
      <c r="DC79" s="119"/>
      <c r="DD79" s="119"/>
      <c r="DE79" s="119"/>
      <c r="DF79" s="119"/>
      <c r="DG79" s="119"/>
      <c r="DH79" s="119"/>
      <c r="DI79" s="119"/>
      <c r="DJ79" s="119"/>
      <c r="DK79" s="119"/>
      <c r="DL79" s="119"/>
      <c r="DM79" s="119"/>
      <c r="DN79" s="119"/>
      <c r="DO79" s="119"/>
      <c r="DP79" s="119"/>
      <c r="DQ79" s="119"/>
      <c r="DR79" s="119"/>
      <c r="DS79" s="119"/>
      <c r="DT79" s="119"/>
      <c r="DU79" s="119"/>
      <c r="DV79" s="119"/>
      <c r="DW79" s="119"/>
      <c r="DX79" s="119"/>
      <c r="DY79" s="119"/>
      <c r="DZ79" s="119"/>
      <c r="EA79" s="119"/>
      <c r="EB79" s="119"/>
      <c r="EC79" s="119"/>
      <c r="ED79" s="119"/>
      <c r="EE79" s="119"/>
      <c r="EF79" s="119"/>
      <c r="EG79" s="119"/>
      <c r="EH79" s="119"/>
      <c r="EI79" s="119"/>
      <c r="EJ79" s="119"/>
      <c r="EK79" s="119"/>
      <c r="EL79" s="119"/>
      <c r="EM79" s="119"/>
      <c r="EN79" s="119"/>
      <c r="EO79" s="119"/>
      <c r="EP79" s="119"/>
      <c r="EQ79" s="119"/>
      <c r="ER79" s="119"/>
      <c r="ES79" s="119"/>
      <c r="ET79" s="119"/>
      <c r="EU79" s="119"/>
      <c r="EV79" s="119"/>
      <c r="EW79" s="119"/>
      <c r="EX79" s="119"/>
      <c r="EY79" s="119"/>
      <c r="EZ79" s="119"/>
      <c r="FA79" s="119"/>
      <c r="FB79" s="119"/>
      <c r="FC79" s="119"/>
      <c r="FD79" s="119"/>
      <c r="FE79" s="119"/>
      <c r="FF79" s="119"/>
      <c r="FG79" s="119"/>
      <c r="FH79" s="119"/>
      <c r="FI79" s="119"/>
      <c r="FJ79" s="119"/>
      <c r="FK79" s="119"/>
      <c r="FL79" s="119"/>
      <c r="FM79" s="119"/>
      <c r="FN79" s="119"/>
      <c r="FO79" s="119"/>
      <c r="FP79" s="119"/>
      <c r="FQ79" s="119"/>
      <c r="FR79" s="119"/>
      <c r="FS79" s="119"/>
      <c r="FT79" s="119"/>
      <c r="FU79" s="119"/>
      <c r="FV79" s="119"/>
      <c r="FW79" s="119"/>
      <c r="FX79" s="119"/>
      <c r="FY79" s="119"/>
      <c r="FZ79" s="119"/>
      <c r="GA79" s="119"/>
      <c r="GB79" s="119"/>
      <c r="GC79" s="119"/>
      <c r="GD79" s="119"/>
      <c r="GE79" s="119"/>
      <c r="GF79" s="119"/>
      <c r="GG79" s="119"/>
      <c r="GH79" s="119"/>
      <c r="GI79" s="119"/>
      <c r="GJ79" s="119"/>
      <c r="GK79" s="119"/>
      <c r="GL79" s="119"/>
      <c r="GM79" s="119"/>
      <c r="GN79" s="119"/>
      <c r="GO79" s="119"/>
      <c r="GP79" s="119"/>
      <c r="GQ79" s="119"/>
      <c r="GR79" s="119"/>
      <c r="GS79" s="119"/>
      <c r="GT79" s="119"/>
      <c r="GU79" s="119"/>
      <c r="GV79" s="119"/>
      <c r="GW79" s="119"/>
      <c r="GX79" s="119"/>
      <c r="GY79" s="119"/>
      <c r="GZ79" s="119"/>
      <c r="HA79" s="119"/>
      <c r="HB79" s="119"/>
      <c r="HC79" s="119"/>
      <c r="HD79" s="119"/>
      <c r="HE79" s="119"/>
      <c r="HF79" s="119"/>
      <c r="HG79" s="119"/>
      <c r="HH79" s="119"/>
      <c r="HI79" s="119"/>
      <c r="HJ79" s="119"/>
      <c r="HK79" s="119"/>
      <c r="HL79" s="119"/>
      <c r="HM79" s="119"/>
      <c r="HN79" s="119"/>
      <c r="HO79" s="119"/>
      <c r="HP79" s="119"/>
      <c r="HQ79" s="119"/>
      <c r="HR79" s="119"/>
      <c r="HS79" s="119"/>
      <c r="HT79" s="119"/>
      <c r="HU79" s="119"/>
      <c r="HV79" s="119"/>
      <c r="HW79" s="119"/>
      <c r="HX79" s="119"/>
      <c r="HY79" s="119"/>
      <c r="HZ79" s="119"/>
      <c r="IA79" s="119"/>
      <c r="IB79" s="119"/>
      <c r="IC79" s="119"/>
      <c r="ID79" s="119"/>
      <c r="IE79" s="119"/>
      <c r="IF79" s="119"/>
      <c r="IG79" s="119"/>
      <c r="IH79" s="119"/>
      <c r="II79" s="119"/>
      <c r="IJ79" s="119"/>
      <c r="IK79" s="119"/>
      <c r="IL79" s="119"/>
      <c r="IM79" s="119"/>
      <c r="IN79" s="119"/>
      <c r="IO79" s="119"/>
      <c r="IP79" s="119"/>
      <c r="IQ79" s="119"/>
      <c r="IR79" s="119"/>
      <c r="IS79" s="119"/>
      <c r="IT79" s="119"/>
      <c r="IU79" s="119"/>
      <c r="IV79" s="119"/>
      <c r="IW79" s="119"/>
    </row>
    <row r="80" spans="1:257" s="187" customFormat="1" ht="18" customHeight="1" x14ac:dyDescent="0.35">
      <c r="A80" s="195">
        <v>71</v>
      </c>
      <c r="B80" s="192"/>
      <c r="C80" s="120"/>
      <c r="D80" s="1266" t="s">
        <v>862</v>
      </c>
      <c r="E80" s="547"/>
      <c r="F80" s="695"/>
      <c r="G80" s="552"/>
      <c r="H80" s="240"/>
      <c r="I80" s="559"/>
      <c r="J80" s="559"/>
      <c r="K80" s="1285">
        <f>SUM(K78:K79)</f>
        <v>8138</v>
      </c>
      <c r="L80" s="1285"/>
      <c r="M80" s="1285">
        <f t="shared" ref="M80" si="21">SUM(M78:M79)</f>
        <v>4564737</v>
      </c>
      <c r="N80" s="1284"/>
      <c r="O80" s="693"/>
      <c r="P80" s="1272">
        <f t="shared" si="20"/>
        <v>4572875</v>
      </c>
      <c r="Q80" s="694"/>
      <c r="R80" s="119"/>
      <c r="S80" s="119"/>
      <c r="T80" s="119"/>
      <c r="U80" s="119"/>
      <c r="V80" s="119"/>
      <c r="W80" s="119"/>
      <c r="X80" s="119"/>
      <c r="Y80" s="119"/>
      <c r="Z80" s="119"/>
      <c r="AA80" s="119"/>
      <c r="AB80" s="119"/>
      <c r="AC80" s="119"/>
      <c r="AD80" s="119"/>
      <c r="AE80" s="119"/>
      <c r="AF80" s="119"/>
      <c r="AG80" s="119"/>
      <c r="AH80" s="119"/>
      <c r="AI80" s="119"/>
      <c r="AJ80" s="119"/>
      <c r="AK80" s="119"/>
      <c r="AL80" s="119"/>
      <c r="AM80" s="119"/>
      <c r="AN80" s="119"/>
      <c r="AO80" s="119"/>
      <c r="AP80" s="119"/>
      <c r="AQ80" s="119"/>
      <c r="AR80" s="119"/>
      <c r="AS80" s="119"/>
      <c r="AT80" s="119"/>
      <c r="AU80" s="119"/>
      <c r="AV80" s="119"/>
      <c r="AW80" s="119"/>
      <c r="AX80" s="119"/>
      <c r="AY80" s="119"/>
      <c r="AZ80" s="119"/>
      <c r="BA80" s="119"/>
      <c r="BB80" s="119"/>
      <c r="BC80" s="119"/>
      <c r="BD80" s="119"/>
      <c r="BE80" s="119"/>
      <c r="BF80" s="119"/>
      <c r="BG80" s="119"/>
      <c r="BH80" s="119"/>
      <c r="BI80" s="119"/>
      <c r="BJ80" s="119"/>
      <c r="BK80" s="119"/>
      <c r="BL80" s="119"/>
      <c r="BM80" s="119"/>
      <c r="BN80" s="119"/>
      <c r="BO80" s="119"/>
      <c r="BP80" s="119"/>
      <c r="BQ80" s="119"/>
      <c r="BR80" s="119"/>
      <c r="BS80" s="119"/>
      <c r="BT80" s="119"/>
      <c r="BU80" s="119"/>
      <c r="BV80" s="119"/>
      <c r="BW80" s="119"/>
      <c r="BX80" s="119"/>
      <c r="BY80" s="119"/>
      <c r="BZ80" s="119"/>
      <c r="CA80" s="119"/>
      <c r="CB80" s="119"/>
      <c r="CC80" s="119"/>
      <c r="CD80" s="119"/>
      <c r="CE80" s="119"/>
      <c r="CF80" s="119"/>
      <c r="CG80" s="119"/>
      <c r="CH80" s="119"/>
      <c r="CI80" s="119"/>
      <c r="CJ80" s="119"/>
      <c r="CK80" s="119"/>
      <c r="CL80" s="119"/>
      <c r="CM80" s="119"/>
      <c r="CN80" s="119"/>
      <c r="CO80" s="119"/>
      <c r="CP80" s="119"/>
      <c r="CQ80" s="119"/>
      <c r="CR80" s="119"/>
      <c r="CS80" s="119"/>
      <c r="CT80" s="119"/>
      <c r="CU80" s="119"/>
      <c r="CV80" s="119"/>
      <c r="CW80" s="119"/>
      <c r="CX80" s="119"/>
      <c r="CY80" s="119"/>
      <c r="CZ80" s="119"/>
      <c r="DA80" s="119"/>
      <c r="DB80" s="119"/>
      <c r="DC80" s="119"/>
      <c r="DD80" s="119"/>
      <c r="DE80" s="119"/>
      <c r="DF80" s="119"/>
      <c r="DG80" s="119"/>
      <c r="DH80" s="119"/>
      <c r="DI80" s="119"/>
      <c r="DJ80" s="119"/>
      <c r="DK80" s="119"/>
      <c r="DL80" s="119"/>
      <c r="DM80" s="119"/>
      <c r="DN80" s="119"/>
      <c r="DO80" s="119"/>
      <c r="DP80" s="119"/>
      <c r="DQ80" s="119"/>
      <c r="DR80" s="119"/>
      <c r="DS80" s="119"/>
      <c r="DT80" s="119"/>
      <c r="DU80" s="119"/>
      <c r="DV80" s="119"/>
      <c r="DW80" s="119"/>
      <c r="DX80" s="119"/>
      <c r="DY80" s="119"/>
      <c r="DZ80" s="119"/>
      <c r="EA80" s="119"/>
      <c r="EB80" s="119"/>
      <c r="EC80" s="119"/>
      <c r="ED80" s="119"/>
      <c r="EE80" s="119"/>
      <c r="EF80" s="119"/>
      <c r="EG80" s="119"/>
      <c r="EH80" s="119"/>
      <c r="EI80" s="119"/>
      <c r="EJ80" s="119"/>
      <c r="EK80" s="119"/>
      <c r="EL80" s="119"/>
      <c r="EM80" s="119"/>
      <c r="EN80" s="119"/>
      <c r="EO80" s="119"/>
      <c r="EP80" s="119"/>
      <c r="EQ80" s="119"/>
      <c r="ER80" s="119"/>
      <c r="ES80" s="119"/>
      <c r="ET80" s="119"/>
      <c r="EU80" s="119"/>
      <c r="EV80" s="119"/>
      <c r="EW80" s="119"/>
      <c r="EX80" s="119"/>
      <c r="EY80" s="119"/>
      <c r="EZ80" s="119"/>
      <c r="FA80" s="119"/>
      <c r="FB80" s="119"/>
      <c r="FC80" s="119"/>
      <c r="FD80" s="119"/>
      <c r="FE80" s="119"/>
      <c r="FF80" s="119"/>
      <c r="FG80" s="119"/>
      <c r="FH80" s="119"/>
      <c r="FI80" s="119"/>
      <c r="FJ80" s="119"/>
      <c r="FK80" s="119"/>
      <c r="FL80" s="119"/>
      <c r="FM80" s="119"/>
      <c r="FN80" s="119"/>
      <c r="FO80" s="119"/>
      <c r="FP80" s="119"/>
      <c r="FQ80" s="119"/>
      <c r="FR80" s="119"/>
      <c r="FS80" s="119"/>
      <c r="FT80" s="119"/>
      <c r="FU80" s="119"/>
      <c r="FV80" s="119"/>
      <c r="FW80" s="119"/>
      <c r="FX80" s="119"/>
      <c r="FY80" s="119"/>
      <c r="FZ80" s="119"/>
      <c r="GA80" s="119"/>
      <c r="GB80" s="119"/>
      <c r="GC80" s="119"/>
      <c r="GD80" s="119"/>
      <c r="GE80" s="119"/>
      <c r="GF80" s="119"/>
      <c r="GG80" s="119"/>
      <c r="GH80" s="119"/>
      <c r="GI80" s="119"/>
      <c r="GJ80" s="119"/>
      <c r="GK80" s="119"/>
      <c r="GL80" s="119"/>
      <c r="GM80" s="119"/>
      <c r="GN80" s="119"/>
      <c r="GO80" s="119"/>
      <c r="GP80" s="119"/>
      <c r="GQ80" s="119"/>
      <c r="GR80" s="119"/>
      <c r="GS80" s="119"/>
      <c r="GT80" s="119"/>
      <c r="GU80" s="119"/>
      <c r="GV80" s="119"/>
      <c r="GW80" s="119"/>
      <c r="GX80" s="119"/>
      <c r="GY80" s="119"/>
      <c r="GZ80" s="119"/>
      <c r="HA80" s="119"/>
      <c r="HB80" s="119"/>
      <c r="HC80" s="119"/>
      <c r="HD80" s="119"/>
      <c r="HE80" s="119"/>
      <c r="HF80" s="119"/>
      <c r="HG80" s="119"/>
      <c r="HH80" s="119"/>
      <c r="HI80" s="119"/>
      <c r="HJ80" s="119"/>
      <c r="HK80" s="119"/>
      <c r="HL80" s="119"/>
      <c r="HM80" s="119"/>
      <c r="HN80" s="119"/>
      <c r="HO80" s="119"/>
      <c r="HP80" s="119"/>
      <c r="HQ80" s="119"/>
      <c r="HR80" s="119"/>
      <c r="HS80" s="119"/>
      <c r="HT80" s="119"/>
      <c r="HU80" s="119"/>
      <c r="HV80" s="119"/>
      <c r="HW80" s="119"/>
      <c r="HX80" s="119"/>
      <c r="HY80" s="119"/>
      <c r="HZ80" s="119"/>
      <c r="IA80" s="119"/>
      <c r="IB80" s="119"/>
      <c r="IC80" s="119"/>
      <c r="ID80" s="119"/>
      <c r="IE80" s="119"/>
      <c r="IF80" s="119"/>
      <c r="IG80" s="119"/>
      <c r="IH80" s="119"/>
      <c r="II80" s="119"/>
      <c r="IJ80" s="119"/>
      <c r="IK80" s="119"/>
      <c r="IL80" s="119"/>
      <c r="IM80" s="119"/>
      <c r="IN80" s="119"/>
      <c r="IO80" s="119"/>
      <c r="IP80" s="119"/>
      <c r="IQ80" s="119"/>
      <c r="IR80" s="119"/>
      <c r="IS80" s="119"/>
      <c r="IT80" s="119"/>
      <c r="IU80" s="119"/>
      <c r="IV80" s="119"/>
      <c r="IW80" s="119"/>
    </row>
    <row r="81" spans="1:257" s="187" customFormat="1" ht="22.35" customHeight="1" x14ac:dyDescent="0.35">
      <c r="A81" s="195">
        <v>72</v>
      </c>
      <c r="B81" s="192"/>
      <c r="C81" s="133">
        <v>31</v>
      </c>
      <c r="D81" s="873" t="s">
        <v>1008</v>
      </c>
      <c r="E81" s="547">
        <f>F81+G81+P85+Q82</f>
        <v>66122</v>
      </c>
      <c r="F81" s="695">
        <f>35789+25052</f>
        <v>60841</v>
      </c>
      <c r="G81" s="552"/>
      <c r="H81" s="578" t="s">
        <v>24</v>
      </c>
      <c r="I81" s="275"/>
      <c r="J81" s="275"/>
      <c r="K81" s="220"/>
      <c r="L81" s="220"/>
      <c r="M81" s="220"/>
      <c r="N81" s="686"/>
      <c r="O81" s="1784"/>
      <c r="P81" s="217"/>
      <c r="Q81" s="694"/>
      <c r="R81" s="119"/>
      <c r="S81" s="119"/>
      <c r="T81" s="119"/>
      <c r="U81" s="119"/>
      <c r="V81" s="119"/>
      <c r="W81" s="119"/>
      <c r="X81" s="119"/>
      <c r="Y81" s="119"/>
      <c r="Z81" s="119"/>
      <c r="AA81" s="119"/>
      <c r="AB81" s="119"/>
      <c r="AC81" s="119"/>
      <c r="AD81" s="119"/>
      <c r="AE81" s="119"/>
      <c r="AF81" s="119"/>
      <c r="AG81" s="119"/>
      <c r="AH81" s="119"/>
      <c r="AI81" s="119"/>
      <c r="AJ81" s="119"/>
      <c r="AK81" s="119"/>
      <c r="AL81" s="119"/>
      <c r="AM81" s="119"/>
      <c r="AN81" s="119"/>
      <c r="AO81" s="119"/>
      <c r="AP81" s="119"/>
      <c r="AQ81" s="119"/>
      <c r="AR81" s="119"/>
      <c r="AS81" s="119"/>
      <c r="AT81" s="119"/>
      <c r="AU81" s="119"/>
      <c r="AV81" s="119"/>
      <c r="AW81" s="119"/>
      <c r="AX81" s="119"/>
      <c r="AY81" s="119"/>
      <c r="AZ81" s="119"/>
      <c r="BA81" s="119"/>
      <c r="BB81" s="119"/>
      <c r="BC81" s="119"/>
      <c r="BD81" s="119"/>
      <c r="BE81" s="119"/>
      <c r="BF81" s="119"/>
      <c r="BG81" s="119"/>
      <c r="BH81" s="119"/>
      <c r="BI81" s="119"/>
      <c r="BJ81" s="119"/>
      <c r="BK81" s="119"/>
      <c r="BL81" s="119"/>
      <c r="BM81" s="119"/>
      <c r="BN81" s="119"/>
      <c r="BO81" s="119"/>
      <c r="BP81" s="119"/>
      <c r="BQ81" s="119"/>
      <c r="BR81" s="119"/>
      <c r="BS81" s="119"/>
      <c r="BT81" s="119"/>
      <c r="BU81" s="119"/>
      <c r="BV81" s="119"/>
      <c r="BW81" s="119"/>
      <c r="BX81" s="119"/>
      <c r="BY81" s="119"/>
      <c r="BZ81" s="119"/>
      <c r="CA81" s="119"/>
      <c r="CB81" s="119"/>
      <c r="CC81" s="119"/>
      <c r="CD81" s="119"/>
      <c r="CE81" s="119"/>
      <c r="CF81" s="119"/>
      <c r="CG81" s="119"/>
      <c r="CH81" s="119"/>
      <c r="CI81" s="119"/>
      <c r="CJ81" s="119"/>
      <c r="CK81" s="119"/>
      <c r="CL81" s="119"/>
      <c r="CM81" s="119"/>
      <c r="CN81" s="119"/>
      <c r="CO81" s="119"/>
      <c r="CP81" s="119"/>
      <c r="CQ81" s="119"/>
      <c r="CR81" s="119"/>
      <c r="CS81" s="119"/>
      <c r="CT81" s="119"/>
      <c r="CU81" s="119"/>
      <c r="CV81" s="119"/>
      <c r="CW81" s="119"/>
      <c r="CX81" s="119"/>
      <c r="CY81" s="119"/>
      <c r="CZ81" s="119"/>
      <c r="DA81" s="119"/>
      <c r="DB81" s="119"/>
      <c r="DC81" s="119"/>
      <c r="DD81" s="119"/>
      <c r="DE81" s="119"/>
      <c r="DF81" s="119"/>
      <c r="DG81" s="119"/>
      <c r="DH81" s="119"/>
      <c r="DI81" s="119"/>
      <c r="DJ81" s="119"/>
      <c r="DK81" s="119"/>
      <c r="DL81" s="119"/>
      <c r="DM81" s="119"/>
      <c r="DN81" s="119"/>
      <c r="DO81" s="119"/>
      <c r="DP81" s="119"/>
      <c r="DQ81" s="119"/>
      <c r="DR81" s="119"/>
      <c r="DS81" s="119"/>
      <c r="DT81" s="119"/>
      <c r="DU81" s="119"/>
      <c r="DV81" s="119"/>
      <c r="DW81" s="119"/>
      <c r="DX81" s="119"/>
      <c r="DY81" s="119"/>
      <c r="DZ81" s="119"/>
      <c r="EA81" s="119"/>
      <c r="EB81" s="119"/>
      <c r="EC81" s="119"/>
      <c r="ED81" s="119"/>
      <c r="EE81" s="119"/>
      <c r="EF81" s="119"/>
      <c r="EG81" s="119"/>
      <c r="EH81" s="119"/>
      <c r="EI81" s="119"/>
      <c r="EJ81" s="119"/>
      <c r="EK81" s="119"/>
      <c r="EL81" s="119"/>
      <c r="EM81" s="119"/>
      <c r="EN81" s="119"/>
      <c r="EO81" s="119"/>
      <c r="EP81" s="119"/>
      <c r="EQ81" s="119"/>
      <c r="ER81" s="119"/>
      <c r="ES81" s="119"/>
      <c r="ET81" s="119"/>
      <c r="EU81" s="119"/>
      <c r="EV81" s="119"/>
      <c r="EW81" s="119"/>
      <c r="EX81" s="119"/>
      <c r="EY81" s="119"/>
      <c r="EZ81" s="119"/>
      <c r="FA81" s="119"/>
      <c r="FB81" s="119"/>
      <c r="FC81" s="119"/>
      <c r="FD81" s="119"/>
      <c r="FE81" s="119"/>
      <c r="FF81" s="119"/>
      <c r="FG81" s="119"/>
      <c r="FH81" s="119"/>
      <c r="FI81" s="119"/>
      <c r="FJ81" s="119"/>
      <c r="FK81" s="119"/>
      <c r="FL81" s="119"/>
      <c r="FM81" s="119"/>
      <c r="FN81" s="119"/>
      <c r="FO81" s="119"/>
      <c r="FP81" s="119"/>
      <c r="FQ81" s="119"/>
      <c r="FR81" s="119"/>
      <c r="FS81" s="119"/>
      <c r="FT81" s="119"/>
      <c r="FU81" s="119"/>
      <c r="FV81" s="119"/>
      <c r="FW81" s="119"/>
      <c r="FX81" s="119"/>
      <c r="FY81" s="119"/>
      <c r="FZ81" s="119"/>
      <c r="GA81" s="119"/>
      <c r="GB81" s="119"/>
      <c r="GC81" s="119"/>
      <c r="GD81" s="119"/>
      <c r="GE81" s="119"/>
      <c r="GF81" s="119"/>
      <c r="GG81" s="119"/>
      <c r="GH81" s="119"/>
      <c r="GI81" s="119"/>
      <c r="GJ81" s="119"/>
      <c r="GK81" s="119"/>
      <c r="GL81" s="119"/>
      <c r="GM81" s="119"/>
      <c r="GN81" s="119"/>
      <c r="GO81" s="119"/>
      <c r="GP81" s="119"/>
      <c r="GQ81" s="119"/>
      <c r="GR81" s="119"/>
      <c r="GS81" s="119"/>
      <c r="GT81" s="119"/>
      <c r="GU81" s="119"/>
      <c r="GV81" s="119"/>
      <c r="GW81" s="119"/>
      <c r="GX81" s="119"/>
      <c r="GY81" s="119"/>
      <c r="GZ81" s="119"/>
      <c r="HA81" s="119"/>
      <c r="HB81" s="119"/>
      <c r="HC81" s="119"/>
      <c r="HD81" s="119"/>
      <c r="HE81" s="119"/>
      <c r="HF81" s="119"/>
      <c r="HG81" s="119"/>
      <c r="HH81" s="119"/>
      <c r="HI81" s="119"/>
      <c r="HJ81" s="119"/>
      <c r="HK81" s="119"/>
      <c r="HL81" s="119"/>
      <c r="HM81" s="119"/>
      <c r="HN81" s="119"/>
      <c r="HO81" s="119"/>
      <c r="HP81" s="119"/>
      <c r="HQ81" s="119"/>
      <c r="HR81" s="119"/>
      <c r="HS81" s="119"/>
      <c r="HT81" s="119"/>
      <c r="HU81" s="119"/>
      <c r="HV81" s="119"/>
      <c r="HW81" s="119"/>
      <c r="HX81" s="119"/>
      <c r="HY81" s="119"/>
      <c r="HZ81" s="119"/>
      <c r="IA81" s="119"/>
      <c r="IB81" s="119"/>
      <c r="IC81" s="119"/>
      <c r="ID81" s="119"/>
      <c r="IE81" s="119"/>
      <c r="IF81" s="119"/>
      <c r="IG81" s="119"/>
      <c r="IH81" s="119"/>
      <c r="II81" s="119"/>
      <c r="IJ81" s="119"/>
      <c r="IK81" s="119"/>
      <c r="IL81" s="119"/>
      <c r="IM81" s="119"/>
      <c r="IN81" s="119"/>
      <c r="IO81" s="119"/>
      <c r="IP81" s="119"/>
      <c r="IQ81" s="119"/>
      <c r="IR81" s="119"/>
      <c r="IS81" s="119"/>
      <c r="IT81" s="119"/>
      <c r="IU81" s="119"/>
      <c r="IV81" s="119"/>
      <c r="IW81" s="119"/>
    </row>
    <row r="82" spans="1:257" s="187" customFormat="1" ht="18" customHeight="1" x14ac:dyDescent="0.35">
      <c r="A82" s="195">
        <v>73</v>
      </c>
      <c r="B82" s="192"/>
      <c r="C82" s="120"/>
      <c r="D82" s="221" t="s">
        <v>245</v>
      </c>
      <c r="E82" s="547"/>
      <c r="F82" s="695"/>
      <c r="G82" s="552"/>
      <c r="H82" s="224"/>
      <c r="I82" s="275"/>
      <c r="J82" s="275"/>
      <c r="K82" s="275">
        <v>5281</v>
      </c>
      <c r="L82" s="275"/>
      <c r="M82" s="275"/>
      <c r="N82" s="686"/>
      <c r="O82" s="1784"/>
      <c r="P82" s="217">
        <f>SUM(I82:N82)</f>
        <v>5281</v>
      </c>
      <c r="Q82" s="694"/>
      <c r="R82" s="119"/>
      <c r="S82" s="119"/>
      <c r="T82" s="119"/>
      <c r="U82" s="119"/>
      <c r="V82" s="119"/>
      <c r="W82" s="119"/>
      <c r="X82" s="119"/>
      <c r="Y82" s="119"/>
      <c r="Z82" s="119"/>
      <c r="AA82" s="119"/>
      <c r="AB82" s="119"/>
      <c r="AC82" s="119"/>
      <c r="AD82" s="119"/>
      <c r="AE82" s="119"/>
      <c r="AF82" s="119"/>
      <c r="AG82" s="119"/>
      <c r="AH82" s="119"/>
      <c r="AI82" s="119"/>
      <c r="AJ82" s="119"/>
      <c r="AK82" s="119"/>
      <c r="AL82" s="119"/>
      <c r="AM82" s="119"/>
      <c r="AN82" s="119"/>
      <c r="AO82" s="119"/>
      <c r="AP82" s="119"/>
      <c r="AQ82" s="119"/>
      <c r="AR82" s="119"/>
      <c r="AS82" s="119"/>
      <c r="AT82" s="119"/>
      <c r="AU82" s="119"/>
      <c r="AV82" s="119"/>
      <c r="AW82" s="119"/>
      <c r="AX82" s="119"/>
      <c r="AY82" s="119"/>
      <c r="AZ82" s="119"/>
      <c r="BA82" s="119"/>
      <c r="BB82" s="119"/>
      <c r="BC82" s="119"/>
      <c r="BD82" s="119"/>
      <c r="BE82" s="119"/>
      <c r="BF82" s="119"/>
      <c r="BG82" s="119"/>
      <c r="BH82" s="119"/>
      <c r="BI82" s="119"/>
      <c r="BJ82" s="119"/>
      <c r="BK82" s="119"/>
      <c r="BL82" s="119"/>
      <c r="BM82" s="119"/>
      <c r="BN82" s="119"/>
      <c r="BO82" s="119"/>
      <c r="BP82" s="119"/>
      <c r="BQ82" s="119"/>
      <c r="BR82" s="119"/>
      <c r="BS82" s="119"/>
      <c r="BT82" s="119"/>
      <c r="BU82" s="119"/>
      <c r="BV82" s="119"/>
      <c r="BW82" s="119"/>
      <c r="BX82" s="119"/>
      <c r="BY82" s="119"/>
      <c r="BZ82" s="119"/>
      <c r="CA82" s="119"/>
      <c r="CB82" s="119"/>
      <c r="CC82" s="119"/>
      <c r="CD82" s="119"/>
      <c r="CE82" s="119"/>
      <c r="CF82" s="119"/>
      <c r="CG82" s="119"/>
      <c r="CH82" s="119"/>
      <c r="CI82" s="119"/>
      <c r="CJ82" s="119"/>
      <c r="CK82" s="119"/>
      <c r="CL82" s="119"/>
      <c r="CM82" s="119"/>
      <c r="CN82" s="119"/>
      <c r="CO82" s="119"/>
      <c r="CP82" s="119"/>
      <c r="CQ82" s="119"/>
      <c r="CR82" s="119"/>
      <c r="CS82" s="119"/>
      <c r="CT82" s="119"/>
      <c r="CU82" s="119"/>
      <c r="CV82" s="119"/>
      <c r="CW82" s="119"/>
      <c r="CX82" s="119"/>
      <c r="CY82" s="119"/>
      <c r="CZ82" s="119"/>
      <c r="DA82" s="119"/>
      <c r="DB82" s="119"/>
      <c r="DC82" s="119"/>
      <c r="DD82" s="119"/>
      <c r="DE82" s="119"/>
      <c r="DF82" s="119"/>
      <c r="DG82" s="119"/>
      <c r="DH82" s="119"/>
      <c r="DI82" s="119"/>
      <c r="DJ82" s="119"/>
      <c r="DK82" s="119"/>
      <c r="DL82" s="119"/>
      <c r="DM82" s="119"/>
      <c r="DN82" s="119"/>
      <c r="DO82" s="119"/>
      <c r="DP82" s="119"/>
      <c r="DQ82" s="119"/>
      <c r="DR82" s="119"/>
      <c r="DS82" s="119"/>
      <c r="DT82" s="119"/>
      <c r="DU82" s="119"/>
      <c r="DV82" s="119"/>
      <c r="DW82" s="119"/>
      <c r="DX82" s="119"/>
      <c r="DY82" s="119"/>
      <c r="DZ82" s="119"/>
      <c r="EA82" s="119"/>
      <c r="EB82" s="119"/>
      <c r="EC82" s="119"/>
      <c r="ED82" s="119"/>
      <c r="EE82" s="119"/>
      <c r="EF82" s="119"/>
      <c r="EG82" s="119"/>
      <c r="EH82" s="119"/>
      <c r="EI82" s="119"/>
      <c r="EJ82" s="119"/>
      <c r="EK82" s="119"/>
      <c r="EL82" s="119"/>
      <c r="EM82" s="119"/>
      <c r="EN82" s="119"/>
      <c r="EO82" s="119"/>
      <c r="EP82" s="119"/>
      <c r="EQ82" s="119"/>
      <c r="ER82" s="119"/>
      <c r="ES82" s="119"/>
      <c r="ET82" s="119"/>
      <c r="EU82" s="119"/>
      <c r="EV82" s="119"/>
      <c r="EW82" s="119"/>
      <c r="EX82" s="119"/>
      <c r="EY82" s="119"/>
      <c r="EZ82" s="119"/>
      <c r="FA82" s="119"/>
      <c r="FB82" s="119"/>
      <c r="FC82" s="119"/>
      <c r="FD82" s="119"/>
      <c r="FE82" s="119"/>
      <c r="FF82" s="119"/>
      <c r="FG82" s="119"/>
      <c r="FH82" s="119"/>
      <c r="FI82" s="119"/>
      <c r="FJ82" s="119"/>
      <c r="FK82" s="119"/>
      <c r="FL82" s="119"/>
      <c r="FM82" s="119"/>
      <c r="FN82" s="119"/>
      <c r="FO82" s="119"/>
      <c r="FP82" s="119"/>
      <c r="FQ82" s="119"/>
      <c r="FR82" s="119"/>
      <c r="FS82" s="119"/>
      <c r="FT82" s="119"/>
      <c r="FU82" s="119"/>
      <c r="FV82" s="119"/>
      <c r="FW82" s="119"/>
      <c r="FX82" s="119"/>
      <c r="FY82" s="119"/>
      <c r="FZ82" s="119"/>
      <c r="GA82" s="119"/>
      <c r="GB82" s="119"/>
      <c r="GC82" s="119"/>
      <c r="GD82" s="119"/>
      <c r="GE82" s="119"/>
      <c r="GF82" s="119"/>
      <c r="GG82" s="119"/>
      <c r="GH82" s="119"/>
      <c r="GI82" s="119"/>
      <c r="GJ82" s="119"/>
      <c r="GK82" s="119"/>
      <c r="GL82" s="119"/>
      <c r="GM82" s="119"/>
      <c r="GN82" s="119"/>
      <c r="GO82" s="119"/>
      <c r="GP82" s="119"/>
      <c r="GQ82" s="119"/>
      <c r="GR82" s="119"/>
      <c r="GS82" s="119"/>
      <c r="GT82" s="119"/>
      <c r="GU82" s="119"/>
      <c r="GV82" s="119"/>
      <c r="GW82" s="119"/>
      <c r="GX82" s="119"/>
      <c r="GY82" s="119"/>
      <c r="GZ82" s="119"/>
      <c r="HA82" s="119"/>
      <c r="HB82" s="119"/>
      <c r="HC82" s="119"/>
      <c r="HD82" s="119"/>
      <c r="HE82" s="119"/>
      <c r="HF82" s="119"/>
      <c r="HG82" s="119"/>
      <c r="HH82" s="119"/>
      <c r="HI82" s="119"/>
      <c r="HJ82" s="119"/>
      <c r="HK82" s="119"/>
      <c r="HL82" s="119"/>
      <c r="HM82" s="119"/>
      <c r="HN82" s="119"/>
      <c r="HO82" s="119"/>
      <c r="HP82" s="119"/>
      <c r="HQ82" s="119"/>
      <c r="HR82" s="119"/>
      <c r="HS82" s="119"/>
      <c r="HT82" s="119"/>
      <c r="HU82" s="119"/>
      <c r="HV82" s="119"/>
      <c r="HW82" s="119"/>
      <c r="HX82" s="119"/>
      <c r="HY82" s="119"/>
      <c r="HZ82" s="119"/>
      <c r="IA82" s="119"/>
      <c r="IB82" s="119"/>
      <c r="IC82" s="119"/>
      <c r="ID82" s="119"/>
      <c r="IE82" s="119"/>
      <c r="IF82" s="119"/>
      <c r="IG82" s="119"/>
      <c r="IH82" s="119"/>
      <c r="II82" s="119"/>
      <c r="IJ82" s="119"/>
      <c r="IK82" s="119"/>
      <c r="IL82" s="119"/>
      <c r="IM82" s="119"/>
      <c r="IN82" s="119"/>
      <c r="IO82" s="119"/>
      <c r="IP82" s="119"/>
      <c r="IQ82" s="119"/>
      <c r="IR82" s="119"/>
      <c r="IS82" s="119"/>
      <c r="IT82" s="119"/>
      <c r="IU82" s="119"/>
      <c r="IV82" s="119"/>
      <c r="IW82" s="119"/>
    </row>
    <row r="83" spans="1:257" s="187" customFormat="1" ht="18" customHeight="1" x14ac:dyDescent="0.35">
      <c r="A83" s="195">
        <v>74</v>
      </c>
      <c r="B83" s="192"/>
      <c r="C83" s="120"/>
      <c r="D83" s="1266" t="s">
        <v>808</v>
      </c>
      <c r="E83" s="547"/>
      <c r="F83" s="695"/>
      <c r="G83" s="552"/>
      <c r="H83" s="240"/>
      <c r="I83" s="275"/>
      <c r="J83" s="275"/>
      <c r="K83" s="559">
        <v>5281</v>
      </c>
      <c r="L83" s="559"/>
      <c r="M83" s="559"/>
      <c r="N83" s="1284"/>
      <c r="O83" s="693"/>
      <c r="P83" s="1272">
        <f>SUM(I83:N83)</f>
        <v>5281</v>
      </c>
      <c r="Q83" s="694"/>
      <c r="R83" s="119"/>
      <c r="S83" s="119"/>
      <c r="T83" s="119"/>
      <c r="U83" s="119"/>
      <c r="V83" s="119"/>
      <c r="W83" s="119"/>
      <c r="X83" s="119"/>
      <c r="Y83" s="119"/>
      <c r="Z83" s="119"/>
      <c r="AA83" s="119"/>
      <c r="AB83" s="119"/>
      <c r="AC83" s="119"/>
      <c r="AD83" s="119"/>
      <c r="AE83" s="119"/>
      <c r="AF83" s="119"/>
      <c r="AG83" s="119"/>
      <c r="AH83" s="119"/>
      <c r="AI83" s="119"/>
      <c r="AJ83" s="119"/>
      <c r="AK83" s="119"/>
      <c r="AL83" s="119"/>
      <c r="AM83" s="119"/>
      <c r="AN83" s="119"/>
      <c r="AO83" s="119"/>
      <c r="AP83" s="119"/>
      <c r="AQ83" s="119"/>
      <c r="AR83" s="119"/>
      <c r="AS83" s="119"/>
      <c r="AT83" s="119"/>
      <c r="AU83" s="119"/>
      <c r="AV83" s="119"/>
      <c r="AW83" s="119"/>
      <c r="AX83" s="119"/>
      <c r="AY83" s="119"/>
      <c r="AZ83" s="119"/>
      <c r="BA83" s="119"/>
      <c r="BB83" s="119"/>
      <c r="BC83" s="119"/>
      <c r="BD83" s="119"/>
      <c r="BE83" s="119"/>
      <c r="BF83" s="119"/>
      <c r="BG83" s="119"/>
      <c r="BH83" s="119"/>
      <c r="BI83" s="119"/>
      <c r="BJ83" s="119"/>
      <c r="BK83" s="119"/>
      <c r="BL83" s="119"/>
      <c r="BM83" s="119"/>
      <c r="BN83" s="119"/>
      <c r="BO83" s="119"/>
      <c r="BP83" s="119"/>
      <c r="BQ83" s="119"/>
      <c r="BR83" s="119"/>
      <c r="BS83" s="119"/>
      <c r="BT83" s="119"/>
      <c r="BU83" s="119"/>
      <c r="BV83" s="119"/>
      <c r="BW83" s="119"/>
      <c r="BX83" s="119"/>
      <c r="BY83" s="119"/>
      <c r="BZ83" s="119"/>
      <c r="CA83" s="119"/>
      <c r="CB83" s="119"/>
      <c r="CC83" s="119"/>
      <c r="CD83" s="119"/>
      <c r="CE83" s="119"/>
      <c r="CF83" s="119"/>
      <c r="CG83" s="119"/>
      <c r="CH83" s="119"/>
      <c r="CI83" s="119"/>
      <c r="CJ83" s="119"/>
      <c r="CK83" s="119"/>
      <c r="CL83" s="119"/>
      <c r="CM83" s="119"/>
      <c r="CN83" s="119"/>
      <c r="CO83" s="119"/>
      <c r="CP83" s="119"/>
      <c r="CQ83" s="119"/>
      <c r="CR83" s="119"/>
      <c r="CS83" s="119"/>
      <c r="CT83" s="119"/>
      <c r="CU83" s="119"/>
      <c r="CV83" s="119"/>
      <c r="CW83" s="119"/>
      <c r="CX83" s="119"/>
      <c r="CY83" s="119"/>
      <c r="CZ83" s="119"/>
      <c r="DA83" s="119"/>
      <c r="DB83" s="119"/>
      <c r="DC83" s="119"/>
      <c r="DD83" s="119"/>
      <c r="DE83" s="119"/>
      <c r="DF83" s="119"/>
      <c r="DG83" s="119"/>
      <c r="DH83" s="119"/>
      <c r="DI83" s="119"/>
      <c r="DJ83" s="119"/>
      <c r="DK83" s="119"/>
      <c r="DL83" s="119"/>
      <c r="DM83" s="119"/>
      <c r="DN83" s="119"/>
      <c r="DO83" s="119"/>
      <c r="DP83" s="119"/>
      <c r="DQ83" s="119"/>
      <c r="DR83" s="119"/>
      <c r="DS83" s="119"/>
      <c r="DT83" s="119"/>
      <c r="DU83" s="119"/>
      <c r="DV83" s="119"/>
      <c r="DW83" s="119"/>
      <c r="DX83" s="119"/>
      <c r="DY83" s="119"/>
      <c r="DZ83" s="119"/>
      <c r="EA83" s="119"/>
      <c r="EB83" s="119"/>
      <c r="EC83" s="119"/>
      <c r="ED83" s="119"/>
      <c r="EE83" s="119"/>
      <c r="EF83" s="119"/>
      <c r="EG83" s="119"/>
      <c r="EH83" s="119"/>
      <c r="EI83" s="119"/>
      <c r="EJ83" s="119"/>
      <c r="EK83" s="119"/>
      <c r="EL83" s="119"/>
      <c r="EM83" s="119"/>
      <c r="EN83" s="119"/>
      <c r="EO83" s="119"/>
      <c r="EP83" s="119"/>
      <c r="EQ83" s="119"/>
      <c r="ER83" s="119"/>
      <c r="ES83" s="119"/>
      <c r="ET83" s="119"/>
      <c r="EU83" s="119"/>
      <c r="EV83" s="119"/>
      <c r="EW83" s="119"/>
      <c r="EX83" s="119"/>
      <c r="EY83" s="119"/>
      <c r="EZ83" s="119"/>
      <c r="FA83" s="119"/>
      <c r="FB83" s="119"/>
      <c r="FC83" s="119"/>
      <c r="FD83" s="119"/>
      <c r="FE83" s="119"/>
      <c r="FF83" s="119"/>
      <c r="FG83" s="119"/>
      <c r="FH83" s="119"/>
      <c r="FI83" s="119"/>
      <c r="FJ83" s="119"/>
      <c r="FK83" s="119"/>
      <c r="FL83" s="119"/>
      <c r="FM83" s="119"/>
      <c r="FN83" s="119"/>
      <c r="FO83" s="119"/>
      <c r="FP83" s="119"/>
      <c r="FQ83" s="119"/>
      <c r="FR83" s="119"/>
      <c r="FS83" s="119"/>
      <c r="FT83" s="119"/>
      <c r="FU83" s="119"/>
      <c r="FV83" s="119"/>
      <c r="FW83" s="119"/>
      <c r="FX83" s="119"/>
      <c r="FY83" s="119"/>
      <c r="FZ83" s="119"/>
      <c r="GA83" s="119"/>
      <c r="GB83" s="119"/>
      <c r="GC83" s="119"/>
      <c r="GD83" s="119"/>
      <c r="GE83" s="119"/>
      <c r="GF83" s="119"/>
      <c r="GG83" s="119"/>
      <c r="GH83" s="119"/>
      <c r="GI83" s="119"/>
      <c r="GJ83" s="119"/>
      <c r="GK83" s="119"/>
      <c r="GL83" s="119"/>
      <c r="GM83" s="119"/>
      <c r="GN83" s="119"/>
      <c r="GO83" s="119"/>
      <c r="GP83" s="119"/>
      <c r="GQ83" s="119"/>
      <c r="GR83" s="119"/>
      <c r="GS83" s="119"/>
      <c r="GT83" s="119"/>
      <c r="GU83" s="119"/>
      <c r="GV83" s="119"/>
      <c r="GW83" s="119"/>
      <c r="GX83" s="119"/>
      <c r="GY83" s="119"/>
      <c r="GZ83" s="119"/>
      <c r="HA83" s="119"/>
      <c r="HB83" s="119"/>
      <c r="HC83" s="119"/>
      <c r="HD83" s="119"/>
      <c r="HE83" s="119"/>
      <c r="HF83" s="119"/>
      <c r="HG83" s="119"/>
      <c r="HH83" s="119"/>
      <c r="HI83" s="119"/>
      <c r="HJ83" s="119"/>
      <c r="HK83" s="119"/>
      <c r="HL83" s="119"/>
      <c r="HM83" s="119"/>
      <c r="HN83" s="119"/>
      <c r="HO83" s="119"/>
      <c r="HP83" s="119"/>
      <c r="HQ83" s="119"/>
      <c r="HR83" s="119"/>
      <c r="HS83" s="119"/>
      <c r="HT83" s="119"/>
      <c r="HU83" s="119"/>
      <c r="HV83" s="119"/>
      <c r="HW83" s="119"/>
      <c r="HX83" s="119"/>
      <c r="HY83" s="119"/>
      <c r="HZ83" s="119"/>
      <c r="IA83" s="119"/>
      <c r="IB83" s="119"/>
      <c r="IC83" s="119"/>
      <c r="ID83" s="119"/>
      <c r="IE83" s="119"/>
      <c r="IF83" s="119"/>
      <c r="IG83" s="119"/>
      <c r="IH83" s="119"/>
      <c r="II83" s="119"/>
      <c r="IJ83" s="119"/>
      <c r="IK83" s="119"/>
      <c r="IL83" s="119"/>
      <c r="IM83" s="119"/>
      <c r="IN83" s="119"/>
      <c r="IO83" s="119"/>
      <c r="IP83" s="119"/>
      <c r="IQ83" s="119"/>
      <c r="IR83" s="119"/>
      <c r="IS83" s="119"/>
      <c r="IT83" s="119"/>
      <c r="IU83" s="119"/>
      <c r="IV83" s="119"/>
      <c r="IW83" s="119"/>
    </row>
    <row r="84" spans="1:257" s="187" customFormat="1" ht="18" customHeight="1" x14ac:dyDescent="0.35">
      <c r="A84" s="195">
        <v>75</v>
      </c>
      <c r="B84" s="192"/>
      <c r="C84" s="120"/>
      <c r="D84" s="1265" t="s">
        <v>656</v>
      </c>
      <c r="E84" s="547"/>
      <c r="F84" s="695"/>
      <c r="G84" s="552"/>
      <c r="H84" s="240"/>
      <c r="I84" s="1282"/>
      <c r="J84" s="1282"/>
      <c r="K84" s="1282"/>
      <c r="L84" s="1282"/>
      <c r="M84" s="1282"/>
      <c r="N84" s="1282"/>
      <c r="O84" s="1792"/>
      <c r="P84" s="1274">
        <f t="shared" ref="P84:P85" si="22">SUM(I84:N84)</f>
        <v>0</v>
      </c>
      <c r="Q84" s="694"/>
      <c r="R84" s="119"/>
      <c r="S84" s="119"/>
      <c r="T84" s="119"/>
      <c r="U84" s="119"/>
      <c r="V84" s="119"/>
      <c r="W84" s="119"/>
      <c r="X84" s="119"/>
      <c r="Y84" s="119"/>
      <c r="Z84" s="119"/>
      <c r="AA84" s="119"/>
      <c r="AB84" s="119"/>
      <c r="AC84" s="119"/>
      <c r="AD84" s="119"/>
      <c r="AE84" s="119"/>
      <c r="AF84" s="119"/>
      <c r="AG84" s="119"/>
      <c r="AH84" s="119"/>
      <c r="AI84" s="119"/>
      <c r="AJ84" s="119"/>
      <c r="AK84" s="119"/>
      <c r="AL84" s="119"/>
      <c r="AM84" s="119"/>
      <c r="AN84" s="119"/>
      <c r="AO84" s="119"/>
      <c r="AP84" s="119"/>
      <c r="AQ84" s="119"/>
      <c r="AR84" s="119"/>
      <c r="AS84" s="119"/>
      <c r="AT84" s="119"/>
      <c r="AU84" s="119"/>
      <c r="AV84" s="119"/>
      <c r="AW84" s="119"/>
      <c r="AX84" s="119"/>
      <c r="AY84" s="119"/>
      <c r="AZ84" s="119"/>
      <c r="BA84" s="119"/>
      <c r="BB84" s="119"/>
      <c r="BC84" s="119"/>
      <c r="BD84" s="119"/>
      <c r="BE84" s="119"/>
      <c r="BF84" s="119"/>
      <c r="BG84" s="119"/>
      <c r="BH84" s="119"/>
      <c r="BI84" s="119"/>
      <c r="BJ84" s="119"/>
      <c r="BK84" s="119"/>
      <c r="BL84" s="119"/>
      <c r="BM84" s="119"/>
      <c r="BN84" s="119"/>
      <c r="BO84" s="119"/>
      <c r="BP84" s="119"/>
      <c r="BQ84" s="119"/>
      <c r="BR84" s="119"/>
      <c r="BS84" s="119"/>
      <c r="BT84" s="119"/>
      <c r="BU84" s="119"/>
      <c r="BV84" s="119"/>
      <c r="BW84" s="119"/>
      <c r="BX84" s="119"/>
      <c r="BY84" s="119"/>
      <c r="BZ84" s="119"/>
      <c r="CA84" s="119"/>
      <c r="CB84" s="119"/>
      <c r="CC84" s="119"/>
      <c r="CD84" s="119"/>
      <c r="CE84" s="119"/>
      <c r="CF84" s="119"/>
      <c r="CG84" s="119"/>
      <c r="CH84" s="119"/>
      <c r="CI84" s="119"/>
      <c r="CJ84" s="119"/>
      <c r="CK84" s="119"/>
      <c r="CL84" s="119"/>
      <c r="CM84" s="119"/>
      <c r="CN84" s="119"/>
      <c r="CO84" s="119"/>
      <c r="CP84" s="119"/>
      <c r="CQ84" s="119"/>
      <c r="CR84" s="119"/>
      <c r="CS84" s="119"/>
      <c r="CT84" s="119"/>
      <c r="CU84" s="119"/>
      <c r="CV84" s="119"/>
      <c r="CW84" s="119"/>
      <c r="CX84" s="119"/>
      <c r="CY84" s="119"/>
      <c r="CZ84" s="119"/>
      <c r="DA84" s="119"/>
      <c r="DB84" s="119"/>
      <c r="DC84" s="119"/>
      <c r="DD84" s="119"/>
      <c r="DE84" s="119"/>
      <c r="DF84" s="119"/>
      <c r="DG84" s="119"/>
      <c r="DH84" s="119"/>
      <c r="DI84" s="119"/>
      <c r="DJ84" s="119"/>
      <c r="DK84" s="119"/>
      <c r="DL84" s="119"/>
      <c r="DM84" s="119"/>
      <c r="DN84" s="119"/>
      <c r="DO84" s="119"/>
      <c r="DP84" s="119"/>
      <c r="DQ84" s="119"/>
      <c r="DR84" s="119"/>
      <c r="DS84" s="119"/>
      <c r="DT84" s="119"/>
      <c r="DU84" s="119"/>
      <c r="DV84" s="119"/>
      <c r="DW84" s="119"/>
      <c r="DX84" s="119"/>
      <c r="DY84" s="119"/>
      <c r="DZ84" s="119"/>
      <c r="EA84" s="119"/>
      <c r="EB84" s="119"/>
      <c r="EC84" s="119"/>
      <c r="ED84" s="119"/>
      <c r="EE84" s="119"/>
      <c r="EF84" s="119"/>
      <c r="EG84" s="119"/>
      <c r="EH84" s="119"/>
      <c r="EI84" s="119"/>
      <c r="EJ84" s="119"/>
      <c r="EK84" s="119"/>
      <c r="EL84" s="119"/>
      <c r="EM84" s="119"/>
      <c r="EN84" s="119"/>
      <c r="EO84" s="119"/>
      <c r="EP84" s="119"/>
      <c r="EQ84" s="119"/>
      <c r="ER84" s="119"/>
      <c r="ES84" s="119"/>
      <c r="ET84" s="119"/>
      <c r="EU84" s="119"/>
      <c r="EV84" s="119"/>
      <c r="EW84" s="119"/>
      <c r="EX84" s="119"/>
      <c r="EY84" s="119"/>
      <c r="EZ84" s="119"/>
      <c r="FA84" s="119"/>
      <c r="FB84" s="119"/>
      <c r="FC84" s="119"/>
      <c r="FD84" s="119"/>
      <c r="FE84" s="119"/>
      <c r="FF84" s="119"/>
      <c r="FG84" s="119"/>
      <c r="FH84" s="119"/>
      <c r="FI84" s="119"/>
      <c r="FJ84" s="119"/>
      <c r="FK84" s="119"/>
      <c r="FL84" s="119"/>
      <c r="FM84" s="119"/>
      <c r="FN84" s="119"/>
      <c r="FO84" s="119"/>
      <c r="FP84" s="119"/>
      <c r="FQ84" s="119"/>
      <c r="FR84" s="119"/>
      <c r="FS84" s="119"/>
      <c r="FT84" s="119"/>
      <c r="FU84" s="119"/>
      <c r="FV84" s="119"/>
      <c r="FW84" s="119"/>
      <c r="FX84" s="119"/>
      <c r="FY84" s="119"/>
      <c r="FZ84" s="119"/>
      <c r="GA84" s="119"/>
      <c r="GB84" s="119"/>
      <c r="GC84" s="119"/>
      <c r="GD84" s="119"/>
      <c r="GE84" s="119"/>
      <c r="GF84" s="119"/>
      <c r="GG84" s="119"/>
      <c r="GH84" s="119"/>
      <c r="GI84" s="119"/>
      <c r="GJ84" s="119"/>
      <c r="GK84" s="119"/>
      <c r="GL84" s="119"/>
      <c r="GM84" s="119"/>
      <c r="GN84" s="119"/>
      <c r="GO84" s="119"/>
      <c r="GP84" s="119"/>
      <c r="GQ84" s="119"/>
      <c r="GR84" s="119"/>
      <c r="GS84" s="119"/>
      <c r="GT84" s="119"/>
      <c r="GU84" s="119"/>
      <c r="GV84" s="119"/>
      <c r="GW84" s="119"/>
      <c r="GX84" s="119"/>
      <c r="GY84" s="119"/>
      <c r="GZ84" s="119"/>
      <c r="HA84" s="119"/>
      <c r="HB84" s="119"/>
      <c r="HC84" s="119"/>
      <c r="HD84" s="119"/>
      <c r="HE84" s="119"/>
      <c r="HF84" s="119"/>
      <c r="HG84" s="119"/>
      <c r="HH84" s="119"/>
      <c r="HI84" s="119"/>
      <c r="HJ84" s="119"/>
      <c r="HK84" s="119"/>
      <c r="HL84" s="119"/>
      <c r="HM84" s="119"/>
      <c r="HN84" s="119"/>
      <c r="HO84" s="119"/>
      <c r="HP84" s="119"/>
      <c r="HQ84" s="119"/>
      <c r="HR84" s="119"/>
      <c r="HS84" s="119"/>
      <c r="HT84" s="119"/>
      <c r="HU84" s="119"/>
      <c r="HV84" s="119"/>
      <c r="HW84" s="119"/>
      <c r="HX84" s="119"/>
      <c r="HY84" s="119"/>
      <c r="HZ84" s="119"/>
      <c r="IA84" s="119"/>
      <c r="IB84" s="119"/>
      <c r="IC84" s="119"/>
      <c r="ID84" s="119"/>
      <c r="IE84" s="119"/>
      <c r="IF84" s="119"/>
      <c r="IG84" s="119"/>
      <c r="IH84" s="119"/>
      <c r="II84" s="119"/>
      <c r="IJ84" s="119"/>
      <c r="IK84" s="119"/>
      <c r="IL84" s="119"/>
      <c r="IM84" s="119"/>
      <c r="IN84" s="119"/>
      <c r="IO84" s="119"/>
      <c r="IP84" s="119"/>
      <c r="IQ84" s="119"/>
      <c r="IR84" s="119"/>
      <c r="IS84" s="119"/>
      <c r="IT84" s="119"/>
      <c r="IU84" s="119"/>
      <c r="IV84" s="119"/>
      <c r="IW84" s="119"/>
    </row>
    <row r="85" spans="1:257" s="187" customFormat="1" ht="18" customHeight="1" x14ac:dyDescent="0.35">
      <c r="A85" s="195">
        <v>76</v>
      </c>
      <c r="B85" s="192"/>
      <c r="C85" s="120"/>
      <c r="D85" s="1266" t="s">
        <v>862</v>
      </c>
      <c r="E85" s="547"/>
      <c r="F85" s="695"/>
      <c r="G85" s="552"/>
      <c r="H85" s="240"/>
      <c r="I85" s="559"/>
      <c r="J85" s="559"/>
      <c r="K85" s="559">
        <f>SUM(K83:K84)</f>
        <v>5281</v>
      </c>
      <c r="L85" s="559"/>
      <c r="M85" s="559"/>
      <c r="N85" s="1284"/>
      <c r="O85" s="693"/>
      <c r="P85" s="1272">
        <f t="shared" si="22"/>
        <v>5281</v>
      </c>
      <c r="Q85" s="694"/>
      <c r="R85" s="119"/>
      <c r="S85" s="119"/>
      <c r="T85" s="119"/>
      <c r="U85" s="119"/>
      <c r="V85" s="119"/>
      <c r="W85" s="119"/>
      <c r="X85" s="119"/>
      <c r="Y85" s="119"/>
      <c r="Z85" s="119"/>
      <c r="AA85" s="119"/>
      <c r="AB85" s="119"/>
      <c r="AC85" s="119"/>
      <c r="AD85" s="119"/>
      <c r="AE85" s="119"/>
      <c r="AF85" s="119"/>
      <c r="AG85" s="119"/>
      <c r="AH85" s="119"/>
      <c r="AI85" s="119"/>
      <c r="AJ85" s="119"/>
      <c r="AK85" s="119"/>
      <c r="AL85" s="119"/>
      <c r="AM85" s="119"/>
      <c r="AN85" s="119"/>
      <c r="AO85" s="119"/>
      <c r="AP85" s="119"/>
      <c r="AQ85" s="119"/>
      <c r="AR85" s="119"/>
      <c r="AS85" s="119"/>
      <c r="AT85" s="119"/>
      <c r="AU85" s="119"/>
      <c r="AV85" s="119"/>
      <c r="AW85" s="119"/>
      <c r="AX85" s="119"/>
      <c r="AY85" s="119"/>
      <c r="AZ85" s="119"/>
      <c r="BA85" s="119"/>
      <c r="BB85" s="119"/>
      <c r="BC85" s="119"/>
      <c r="BD85" s="119"/>
      <c r="BE85" s="119"/>
      <c r="BF85" s="119"/>
      <c r="BG85" s="119"/>
      <c r="BH85" s="119"/>
      <c r="BI85" s="119"/>
      <c r="BJ85" s="119"/>
      <c r="BK85" s="119"/>
      <c r="BL85" s="119"/>
      <c r="BM85" s="119"/>
      <c r="BN85" s="119"/>
      <c r="BO85" s="119"/>
      <c r="BP85" s="119"/>
      <c r="BQ85" s="119"/>
      <c r="BR85" s="119"/>
      <c r="BS85" s="119"/>
      <c r="BT85" s="119"/>
      <c r="BU85" s="119"/>
      <c r="BV85" s="119"/>
      <c r="BW85" s="119"/>
      <c r="BX85" s="119"/>
      <c r="BY85" s="119"/>
      <c r="BZ85" s="119"/>
      <c r="CA85" s="119"/>
      <c r="CB85" s="119"/>
      <c r="CC85" s="119"/>
      <c r="CD85" s="119"/>
      <c r="CE85" s="119"/>
      <c r="CF85" s="119"/>
      <c r="CG85" s="119"/>
      <c r="CH85" s="119"/>
      <c r="CI85" s="119"/>
      <c r="CJ85" s="119"/>
      <c r="CK85" s="119"/>
      <c r="CL85" s="119"/>
      <c r="CM85" s="119"/>
      <c r="CN85" s="119"/>
      <c r="CO85" s="119"/>
      <c r="CP85" s="119"/>
      <c r="CQ85" s="119"/>
      <c r="CR85" s="119"/>
      <c r="CS85" s="119"/>
      <c r="CT85" s="119"/>
      <c r="CU85" s="119"/>
      <c r="CV85" s="119"/>
      <c r="CW85" s="119"/>
      <c r="CX85" s="119"/>
      <c r="CY85" s="119"/>
      <c r="CZ85" s="119"/>
      <c r="DA85" s="119"/>
      <c r="DB85" s="119"/>
      <c r="DC85" s="119"/>
      <c r="DD85" s="119"/>
      <c r="DE85" s="119"/>
      <c r="DF85" s="119"/>
      <c r="DG85" s="119"/>
      <c r="DH85" s="119"/>
      <c r="DI85" s="119"/>
      <c r="DJ85" s="119"/>
      <c r="DK85" s="119"/>
      <c r="DL85" s="119"/>
      <c r="DM85" s="119"/>
      <c r="DN85" s="119"/>
      <c r="DO85" s="119"/>
      <c r="DP85" s="119"/>
      <c r="DQ85" s="119"/>
      <c r="DR85" s="119"/>
      <c r="DS85" s="119"/>
      <c r="DT85" s="119"/>
      <c r="DU85" s="119"/>
      <c r="DV85" s="119"/>
      <c r="DW85" s="119"/>
      <c r="DX85" s="119"/>
      <c r="DY85" s="119"/>
      <c r="DZ85" s="119"/>
      <c r="EA85" s="119"/>
      <c r="EB85" s="119"/>
      <c r="EC85" s="119"/>
      <c r="ED85" s="119"/>
      <c r="EE85" s="119"/>
      <c r="EF85" s="119"/>
      <c r="EG85" s="119"/>
      <c r="EH85" s="119"/>
      <c r="EI85" s="119"/>
      <c r="EJ85" s="119"/>
      <c r="EK85" s="119"/>
      <c r="EL85" s="119"/>
      <c r="EM85" s="119"/>
      <c r="EN85" s="119"/>
      <c r="EO85" s="119"/>
      <c r="EP85" s="119"/>
      <c r="EQ85" s="119"/>
      <c r="ER85" s="119"/>
      <c r="ES85" s="119"/>
      <c r="ET85" s="119"/>
      <c r="EU85" s="119"/>
      <c r="EV85" s="119"/>
      <c r="EW85" s="119"/>
      <c r="EX85" s="119"/>
      <c r="EY85" s="119"/>
      <c r="EZ85" s="119"/>
      <c r="FA85" s="119"/>
      <c r="FB85" s="119"/>
      <c r="FC85" s="119"/>
      <c r="FD85" s="119"/>
      <c r="FE85" s="119"/>
      <c r="FF85" s="119"/>
      <c r="FG85" s="119"/>
      <c r="FH85" s="119"/>
      <c r="FI85" s="119"/>
      <c r="FJ85" s="119"/>
      <c r="FK85" s="119"/>
      <c r="FL85" s="119"/>
      <c r="FM85" s="119"/>
      <c r="FN85" s="119"/>
      <c r="FO85" s="119"/>
      <c r="FP85" s="119"/>
      <c r="FQ85" s="119"/>
      <c r="FR85" s="119"/>
      <c r="FS85" s="119"/>
      <c r="FT85" s="119"/>
      <c r="FU85" s="119"/>
      <c r="FV85" s="119"/>
      <c r="FW85" s="119"/>
      <c r="FX85" s="119"/>
      <c r="FY85" s="119"/>
      <c r="FZ85" s="119"/>
      <c r="GA85" s="119"/>
      <c r="GB85" s="119"/>
      <c r="GC85" s="119"/>
      <c r="GD85" s="119"/>
      <c r="GE85" s="119"/>
      <c r="GF85" s="119"/>
      <c r="GG85" s="119"/>
      <c r="GH85" s="119"/>
      <c r="GI85" s="119"/>
      <c r="GJ85" s="119"/>
      <c r="GK85" s="119"/>
      <c r="GL85" s="119"/>
      <c r="GM85" s="119"/>
      <c r="GN85" s="119"/>
      <c r="GO85" s="119"/>
      <c r="GP85" s="119"/>
      <c r="GQ85" s="119"/>
      <c r="GR85" s="119"/>
      <c r="GS85" s="119"/>
      <c r="GT85" s="119"/>
      <c r="GU85" s="119"/>
      <c r="GV85" s="119"/>
      <c r="GW85" s="119"/>
      <c r="GX85" s="119"/>
      <c r="GY85" s="119"/>
      <c r="GZ85" s="119"/>
      <c r="HA85" s="119"/>
      <c r="HB85" s="119"/>
      <c r="HC85" s="119"/>
      <c r="HD85" s="119"/>
      <c r="HE85" s="119"/>
      <c r="HF85" s="119"/>
      <c r="HG85" s="119"/>
      <c r="HH85" s="119"/>
      <c r="HI85" s="119"/>
      <c r="HJ85" s="119"/>
      <c r="HK85" s="119"/>
      <c r="HL85" s="119"/>
      <c r="HM85" s="119"/>
      <c r="HN85" s="119"/>
      <c r="HO85" s="119"/>
      <c r="HP85" s="119"/>
      <c r="HQ85" s="119"/>
      <c r="HR85" s="119"/>
      <c r="HS85" s="119"/>
      <c r="HT85" s="119"/>
      <c r="HU85" s="119"/>
      <c r="HV85" s="119"/>
      <c r="HW85" s="119"/>
      <c r="HX85" s="119"/>
      <c r="HY85" s="119"/>
      <c r="HZ85" s="119"/>
      <c r="IA85" s="119"/>
      <c r="IB85" s="119"/>
      <c r="IC85" s="119"/>
      <c r="ID85" s="119"/>
      <c r="IE85" s="119"/>
      <c r="IF85" s="119"/>
      <c r="IG85" s="119"/>
      <c r="IH85" s="119"/>
      <c r="II85" s="119"/>
      <c r="IJ85" s="119"/>
      <c r="IK85" s="119"/>
      <c r="IL85" s="119"/>
      <c r="IM85" s="119"/>
      <c r="IN85" s="119"/>
      <c r="IO85" s="119"/>
      <c r="IP85" s="119"/>
      <c r="IQ85" s="119"/>
      <c r="IR85" s="119"/>
      <c r="IS85" s="119"/>
      <c r="IT85" s="119"/>
      <c r="IU85" s="119"/>
      <c r="IV85" s="119"/>
      <c r="IW85" s="119"/>
    </row>
    <row r="86" spans="1:257" s="187" customFormat="1" ht="50.25" x14ac:dyDescent="0.35">
      <c r="A86" s="195">
        <v>77</v>
      </c>
      <c r="B86" s="192"/>
      <c r="C86" s="120">
        <v>32</v>
      </c>
      <c r="D86" s="277" t="s">
        <v>1007</v>
      </c>
      <c r="E86" s="547">
        <f>F86+G86+P90+Q87</f>
        <v>5631126</v>
      </c>
      <c r="F86" s="695">
        <f>22482+1024536+3172042</f>
        <v>4219060</v>
      </c>
      <c r="G86" s="552">
        <v>882827</v>
      </c>
      <c r="H86" s="578" t="s">
        <v>24</v>
      </c>
      <c r="I86" s="275"/>
      <c r="J86" s="275"/>
      <c r="K86" s="275"/>
      <c r="L86" s="275"/>
      <c r="M86" s="275"/>
      <c r="N86" s="686"/>
      <c r="O86" s="1784"/>
      <c r="P86" s="217"/>
      <c r="Q86" s="694"/>
      <c r="R86" s="119"/>
      <c r="S86" s="119"/>
      <c r="T86" s="119"/>
      <c r="U86" s="119"/>
      <c r="V86" s="119"/>
      <c r="W86" s="119"/>
      <c r="X86" s="119"/>
      <c r="Y86" s="119"/>
      <c r="Z86" s="119"/>
      <c r="AA86" s="119"/>
      <c r="AB86" s="119"/>
      <c r="AC86" s="119"/>
      <c r="AD86" s="119"/>
      <c r="AE86" s="119"/>
      <c r="AF86" s="119"/>
      <c r="AG86" s="119"/>
      <c r="AH86" s="119"/>
      <c r="AI86" s="119"/>
      <c r="AJ86" s="119"/>
      <c r="AK86" s="119"/>
      <c r="AL86" s="119"/>
      <c r="AM86" s="119"/>
      <c r="AN86" s="119"/>
      <c r="AO86" s="119"/>
      <c r="AP86" s="119"/>
      <c r="AQ86" s="119"/>
      <c r="AR86" s="119"/>
      <c r="AS86" s="119"/>
      <c r="AT86" s="119"/>
      <c r="AU86" s="119"/>
      <c r="AV86" s="119"/>
      <c r="AW86" s="119"/>
      <c r="AX86" s="119"/>
      <c r="AY86" s="119"/>
      <c r="AZ86" s="119"/>
      <c r="BA86" s="119"/>
      <c r="BB86" s="119"/>
      <c r="BC86" s="119"/>
      <c r="BD86" s="119"/>
      <c r="BE86" s="119"/>
      <c r="BF86" s="119"/>
      <c r="BG86" s="119"/>
      <c r="BH86" s="119"/>
      <c r="BI86" s="119"/>
      <c r="BJ86" s="119"/>
      <c r="BK86" s="119"/>
      <c r="BL86" s="119"/>
      <c r="BM86" s="119"/>
      <c r="BN86" s="119"/>
      <c r="BO86" s="119"/>
      <c r="BP86" s="119"/>
      <c r="BQ86" s="119"/>
      <c r="BR86" s="119"/>
      <c r="BS86" s="119"/>
      <c r="BT86" s="119"/>
      <c r="BU86" s="119"/>
      <c r="BV86" s="119"/>
      <c r="BW86" s="119"/>
      <c r="BX86" s="119"/>
      <c r="BY86" s="119"/>
      <c r="BZ86" s="119"/>
      <c r="CA86" s="119"/>
      <c r="CB86" s="119"/>
      <c r="CC86" s="119"/>
      <c r="CD86" s="119"/>
      <c r="CE86" s="119"/>
      <c r="CF86" s="119"/>
      <c r="CG86" s="119"/>
      <c r="CH86" s="119"/>
      <c r="CI86" s="119"/>
      <c r="CJ86" s="119"/>
      <c r="CK86" s="119"/>
      <c r="CL86" s="119"/>
      <c r="CM86" s="119"/>
      <c r="CN86" s="119"/>
      <c r="CO86" s="119"/>
      <c r="CP86" s="119"/>
      <c r="CQ86" s="119"/>
      <c r="CR86" s="119"/>
      <c r="CS86" s="119"/>
      <c r="CT86" s="119"/>
      <c r="CU86" s="119"/>
      <c r="CV86" s="119"/>
      <c r="CW86" s="119"/>
      <c r="CX86" s="119"/>
      <c r="CY86" s="119"/>
      <c r="CZ86" s="119"/>
      <c r="DA86" s="119"/>
      <c r="DB86" s="119"/>
      <c r="DC86" s="119"/>
      <c r="DD86" s="119"/>
      <c r="DE86" s="119"/>
      <c r="DF86" s="119"/>
      <c r="DG86" s="119"/>
      <c r="DH86" s="119"/>
      <c r="DI86" s="119"/>
      <c r="DJ86" s="119"/>
      <c r="DK86" s="119"/>
      <c r="DL86" s="119"/>
      <c r="DM86" s="119"/>
      <c r="DN86" s="119"/>
      <c r="DO86" s="119"/>
      <c r="DP86" s="119"/>
      <c r="DQ86" s="119"/>
      <c r="DR86" s="119"/>
      <c r="DS86" s="119"/>
      <c r="DT86" s="119"/>
      <c r="DU86" s="119"/>
      <c r="DV86" s="119"/>
      <c r="DW86" s="119"/>
      <c r="DX86" s="119"/>
      <c r="DY86" s="119"/>
      <c r="DZ86" s="119"/>
      <c r="EA86" s="119"/>
      <c r="EB86" s="119"/>
      <c r="EC86" s="119"/>
      <c r="ED86" s="119"/>
      <c r="EE86" s="119"/>
      <c r="EF86" s="119"/>
      <c r="EG86" s="119"/>
      <c r="EH86" s="119"/>
      <c r="EI86" s="119"/>
      <c r="EJ86" s="119"/>
      <c r="EK86" s="119"/>
      <c r="EL86" s="119"/>
      <c r="EM86" s="119"/>
      <c r="EN86" s="119"/>
      <c r="EO86" s="119"/>
      <c r="EP86" s="119"/>
      <c r="EQ86" s="119"/>
      <c r="ER86" s="119"/>
      <c r="ES86" s="119"/>
      <c r="ET86" s="119"/>
      <c r="EU86" s="119"/>
      <c r="EV86" s="119"/>
      <c r="EW86" s="119"/>
      <c r="EX86" s="119"/>
      <c r="EY86" s="119"/>
      <c r="EZ86" s="119"/>
      <c r="FA86" s="119"/>
      <c r="FB86" s="119"/>
      <c r="FC86" s="119"/>
      <c r="FD86" s="119"/>
      <c r="FE86" s="119"/>
      <c r="FF86" s="119"/>
      <c r="FG86" s="119"/>
      <c r="FH86" s="119"/>
      <c r="FI86" s="119"/>
      <c r="FJ86" s="119"/>
      <c r="FK86" s="119"/>
      <c r="FL86" s="119"/>
      <c r="FM86" s="119"/>
      <c r="FN86" s="119"/>
      <c r="FO86" s="119"/>
      <c r="FP86" s="119"/>
      <c r="FQ86" s="119"/>
      <c r="FR86" s="119"/>
      <c r="FS86" s="119"/>
      <c r="FT86" s="119"/>
      <c r="FU86" s="119"/>
      <c r="FV86" s="119"/>
      <c r="FW86" s="119"/>
      <c r="FX86" s="119"/>
      <c r="FY86" s="119"/>
      <c r="FZ86" s="119"/>
      <c r="GA86" s="119"/>
      <c r="GB86" s="119"/>
      <c r="GC86" s="119"/>
      <c r="GD86" s="119"/>
      <c r="GE86" s="119"/>
      <c r="GF86" s="119"/>
      <c r="GG86" s="119"/>
      <c r="GH86" s="119"/>
      <c r="GI86" s="119"/>
      <c r="GJ86" s="119"/>
      <c r="GK86" s="119"/>
      <c r="GL86" s="119"/>
      <c r="GM86" s="119"/>
      <c r="GN86" s="119"/>
      <c r="GO86" s="119"/>
      <c r="GP86" s="119"/>
      <c r="GQ86" s="119"/>
      <c r="GR86" s="119"/>
      <c r="GS86" s="119"/>
      <c r="GT86" s="119"/>
      <c r="GU86" s="119"/>
      <c r="GV86" s="119"/>
      <c r="GW86" s="119"/>
      <c r="GX86" s="119"/>
      <c r="GY86" s="119"/>
      <c r="GZ86" s="119"/>
      <c r="HA86" s="119"/>
      <c r="HB86" s="119"/>
      <c r="HC86" s="119"/>
      <c r="HD86" s="119"/>
      <c r="HE86" s="119"/>
      <c r="HF86" s="119"/>
      <c r="HG86" s="119"/>
      <c r="HH86" s="119"/>
      <c r="HI86" s="119"/>
      <c r="HJ86" s="119"/>
      <c r="HK86" s="119"/>
      <c r="HL86" s="119"/>
      <c r="HM86" s="119"/>
      <c r="HN86" s="119"/>
      <c r="HO86" s="119"/>
      <c r="HP86" s="119"/>
      <c r="HQ86" s="119"/>
      <c r="HR86" s="119"/>
      <c r="HS86" s="119"/>
      <c r="HT86" s="119"/>
      <c r="HU86" s="119"/>
      <c r="HV86" s="119"/>
      <c r="HW86" s="119"/>
      <c r="HX86" s="119"/>
      <c r="HY86" s="119"/>
      <c r="HZ86" s="119"/>
      <c r="IA86" s="119"/>
      <c r="IB86" s="119"/>
      <c r="IC86" s="119"/>
      <c r="ID86" s="119"/>
      <c r="IE86" s="119"/>
      <c r="IF86" s="119"/>
      <c r="IG86" s="119"/>
      <c r="IH86" s="119"/>
      <c r="II86" s="119"/>
      <c r="IJ86" s="119"/>
      <c r="IK86" s="119"/>
      <c r="IL86" s="119"/>
      <c r="IM86" s="119"/>
      <c r="IN86" s="119"/>
      <c r="IO86" s="119"/>
      <c r="IP86" s="119"/>
      <c r="IQ86" s="119"/>
      <c r="IR86" s="119"/>
      <c r="IS86" s="119"/>
      <c r="IT86" s="119"/>
      <c r="IU86" s="119"/>
      <c r="IV86" s="119"/>
      <c r="IW86" s="119"/>
    </row>
    <row r="87" spans="1:257" s="187" customFormat="1" ht="18" customHeight="1" x14ac:dyDescent="0.35">
      <c r="A87" s="195">
        <v>78</v>
      </c>
      <c r="B87" s="192"/>
      <c r="C87" s="120"/>
      <c r="D87" s="221" t="s">
        <v>245</v>
      </c>
      <c r="E87" s="547"/>
      <c r="F87" s="695"/>
      <c r="G87" s="552"/>
      <c r="H87" s="224"/>
      <c r="I87" s="275"/>
      <c r="J87" s="275"/>
      <c r="K87" s="220">
        <v>1038</v>
      </c>
      <c r="L87" s="220"/>
      <c r="M87" s="220">
        <v>528201</v>
      </c>
      <c r="N87" s="686"/>
      <c r="O87" s="1784"/>
      <c r="P87" s="217">
        <f>SUM(I87:N87)</f>
        <v>529239</v>
      </c>
      <c r="Q87" s="694"/>
      <c r="R87" s="119"/>
      <c r="S87" s="119"/>
      <c r="T87" s="119"/>
      <c r="U87" s="119"/>
      <c r="V87" s="119"/>
      <c r="W87" s="119"/>
      <c r="X87" s="119"/>
      <c r="Y87" s="119"/>
      <c r="Z87" s="119"/>
      <c r="AA87" s="119"/>
      <c r="AB87" s="119"/>
      <c r="AC87" s="119"/>
      <c r="AD87" s="119"/>
      <c r="AE87" s="119"/>
      <c r="AF87" s="119"/>
      <c r="AG87" s="119"/>
      <c r="AH87" s="119"/>
      <c r="AI87" s="119"/>
      <c r="AJ87" s="119"/>
      <c r="AK87" s="119"/>
      <c r="AL87" s="119"/>
      <c r="AM87" s="119"/>
      <c r="AN87" s="119"/>
      <c r="AO87" s="119"/>
      <c r="AP87" s="119"/>
      <c r="AQ87" s="119"/>
      <c r="AR87" s="119"/>
      <c r="AS87" s="119"/>
      <c r="AT87" s="119"/>
      <c r="AU87" s="119"/>
      <c r="AV87" s="119"/>
      <c r="AW87" s="119"/>
      <c r="AX87" s="119"/>
      <c r="AY87" s="119"/>
      <c r="AZ87" s="119"/>
      <c r="BA87" s="119"/>
      <c r="BB87" s="119"/>
      <c r="BC87" s="119"/>
      <c r="BD87" s="119"/>
      <c r="BE87" s="119"/>
      <c r="BF87" s="119"/>
      <c r="BG87" s="119"/>
      <c r="BH87" s="119"/>
      <c r="BI87" s="119"/>
      <c r="BJ87" s="119"/>
      <c r="BK87" s="119"/>
      <c r="BL87" s="119"/>
      <c r="BM87" s="119"/>
      <c r="BN87" s="119"/>
      <c r="BO87" s="119"/>
      <c r="BP87" s="119"/>
      <c r="BQ87" s="119"/>
      <c r="BR87" s="119"/>
      <c r="BS87" s="119"/>
      <c r="BT87" s="119"/>
      <c r="BU87" s="119"/>
      <c r="BV87" s="119"/>
      <c r="BW87" s="119"/>
      <c r="BX87" s="119"/>
      <c r="BY87" s="119"/>
      <c r="BZ87" s="119"/>
      <c r="CA87" s="119"/>
      <c r="CB87" s="119"/>
      <c r="CC87" s="119"/>
      <c r="CD87" s="119"/>
      <c r="CE87" s="119"/>
      <c r="CF87" s="119"/>
      <c r="CG87" s="119"/>
      <c r="CH87" s="119"/>
      <c r="CI87" s="119"/>
      <c r="CJ87" s="119"/>
      <c r="CK87" s="119"/>
      <c r="CL87" s="119"/>
      <c r="CM87" s="119"/>
      <c r="CN87" s="119"/>
      <c r="CO87" s="119"/>
      <c r="CP87" s="119"/>
      <c r="CQ87" s="119"/>
      <c r="CR87" s="119"/>
      <c r="CS87" s="119"/>
      <c r="CT87" s="119"/>
      <c r="CU87" s="119"/>
      <c r="CV87" s="119"/>
      <c r="CW87" s="119"/>
      <c r="CX87" s="119"/>
      <c r="CY87" s="119"/>
      <c r="CZ87" s="119"/>
      <c r="DA87" s="119"/>
      <c r="DB87" s="119"/>
      <c r="DC87" s="119"/>
      <c r="DD87" s="119"/>
      <c r="DE87" s="119"/>
      <c r="DF87" s="119"/>
      <c r="DG87" s="119"/>
      <c r="DH87" s="119"/>
      <c r="DI87" s="119"/>
      <c r="DJ87" s="119"/>
      <c r="DK87" s="119"/>
      <c r="DL87" s="119"/>
      <c r="DM87" s="119"/>
      <c r="DN87" s="119"/>
      <c r="DO87" s="119"/>
      <c r="DP87" s="119"/>
      <c r="DQ87" s="119"/>
      <c r="DR87" s="119"/>
      <c r="DS87" s="119"/>
      <c r="DT87" s="119"/>
      <c r="DU87" s="119"/>
      <c r="DV87" s="119"/>
      <c r="DW87" s="119"/>
      <c r="DX87" s="119"/>
      <c r="DY87" s="119"/>
      <c r="DZ87" s="119"/>
      <c r="EA87" s="119"/>
      <c r="EB87" s="119"/>
      <c r="EC87" s="119"/>
      <c r="ED87" s="119"/>
      <c r="EE87" s="119"/>
      <c r="EF87" s="119"/>
      <c r="EG87" s="119"/>
      <c r="EH87" s="119"/>
      <c r="EI87" s="119"/>
      <c r="EJ87" s="119"/>
      <c r="EK87" s="119"/>
      <c r="EL87" s="119"/>
      <c r="EM87" s="119"/>
      <c r="EN87" s="119"/>
      <c r="EO87" s="119"/>
      <c r="EP87" s="119"/>
      <c r="EQ87" s="119"/>
      <c r="ER87" s="119"/>
      <c r="ES87" s="119"/>
      <c r="ET87" s="119"/>
      <c r="EU87" s="119"/>
      <c r="EV87" s="119"/>
      <c r="EW87" s="119"/>
      <c r="EX87" s="119"/>
      <c r="EY87" s="119"/>
      <c r="EZ87" s="119"/>
      <c r="FA87" s="119"/>
      <c r="FB87" s="119"/>
      <c r="FC87" s="119"/>
      <c r="FD87" s="119"/>
      <c r="FE87" s="119"/>
      <c r="FF87" s="119"/>
      <c r="FG87" s="119"/>
      <c r="FH87" s="119"/>
      <c r="FI87" s="119"/>
      <c r="FJ87" s="119"/>
      <c r="FK87" s="119"/>
      <c r="FL87" s="119"/>
      <c r="FM87" s="119"/>
      <c r="FN87" s="119"/>
      <c r="FO87" s="119"/>
      <c r="FP87" s="119"/>
      <c r="FQ87" s="119"/>
      <c r="FR87" s="119"/>
      <c r="FS87" s="119"/>
      <c r="FT87" s="119"/>
      <c r="FU87" s="119"/>
      <c r="FV87" s="119"/>
      <c r="FW87" s="119"/>
      <c r="FX87" s="119"/>
      <c r="FY87" s="119"/>
      <c r="FZ87" s="119"/>
      <c r="GA87" s="119"/>
      <c r="GB87" s="119"/>
      <c r="GC87" s="119"/>
      <c r="GD87" s="119"/>
      <c r="GE87" s="119"/>
      <c r="GF87" s="119"/>
      <c r="GG87" s="119"/>
      <c r="GH87" s="119"/>
      <c r="GI87" s="119"/>
      <c r="GJ87" s="119"/>
      <c r="GK87" s="119"/>
      <c r="GL87" s="119"/>
      <c r="GM87" s="119"/>
      <c r="GN87" s="119"/>
      <c r="GO87" s="119"/>
      <c r="GP87" s="119"/>
      <c r="GQ87" s="119"/>
      <c r="GR87" s="119"/>
      <c r="GS87" s="119"/>
      <c r="GT87" s="119"/>
      <c r="GU87" s="119"/>
      <c r="GV87" s="119"/>
      <c r="GW87" s="119"/>
      <c r="GX87" s="119"/>
      <c r="GY87" s="119"/>
      <c r="GZ87" s="119"/>
      <c r="HA87" s="119"/>
      <c r="HB87" s="119"/>
      <c r="HC87" s="119"/>
      <c r="HD87" s="119"/>
      <c r="HE87" s="119"/>
      <c r="HF87" s="119"/>
      <c r="HG87" s="119"/>
      <c r="HH87" s="119"/>
      <c r="HI87" s="119"/>
      <c r="HJ87" s="119"/>
      <c r="HK87" s="119"/>
      <c r="HL87" s="119"/>
      <c r="HM87" s="119"/>
      <c r="HN87" s="119"/>
      <c r="HO87" s="119"/>
      <c r="HP87" s="119"/>
      <c r="HQ87" s="119"/>
      <c r="HR87" s="119"/>
      <c r="HS87" s="119"/>
      <c r="HT87" s="119"/>
      <c r="HU87" s="119"/>
      <c r="HV87" s="119"/>
      <c r="HW87" s="119"/>
      <c r="HX87" s="119"/>
      <c r="HY87" s="119"/>
      <c r="HZ87" s="119"/>
      <c r="IA87" s="119"/>
      <c r="IB87" s="119"/>
      <c r="IC87" s="119"/>
      <c r="ID87" s="119"/>
      <c r="IE87" s="119"/>
      <c r="IF87" s="119"/>
      <c r="IG87" s="119"/>
      <c r="IH87" s="119"/>
      <c r="II87" s="119"/>
      <c r="IJ87" s="119"/>
      <c r="IK87" s="119"/>
      <c r="IL87" s="119"/>
      <c r="IM87" s="119"/>
      <c r="IN87" s="119"/>
      <c r="IO87" s="119"/>
      <c r="IP87" s="119"/>
      <c r="IQ87" s="119"/>
      <c r="IR87" s="119"/>
      <c r="IS87" s="119"/>
      <c r="IT87" s="119"/>
      <c r="IU87" s="119"/>
      <c r="IV87" s="119"/>
      <c r="IW87" s="119"/>
    </row>
    <row r="88" spans="1:257" s="187" customFormat="1" ht="18" customHeight="1" x14ac:dyDescent="0.35">
      <c r="A88" s="195">
        <v>79</v>
      </c>
      <c r="B88" s="192"/>
      <c r="C88" s="120"/>
      <c r="D88" s="1266" t="s">
        <v>808</v>
      </c>
      <c r="E88" s="547"/>
      <c r="F88" s="695"/>
      <c r="G88" s="552"/>
      <c r="H88" s="240"/>
      <c r="I88" s="275"/>
      <c r="J88" s="275"/>
      <c r="K88" s="1287">
        <v>1038</v>
      </c>
      <c r="L88" s="1287"/>
      <c r="M88" s="1287">
        <v>528201</v>
      </c>
      <c r="N88" s="1284"/>
      <c r="O88" s="693"/>
      <c r="P88" s="1272">
        <f>SUM(I88:N88)</f>
        <v>529239</v>
      </c>
      <c r="Q88" s="694"/>
      <c r="R88" s="119"/>
      <c r="S88" s="119"/>
      <c r="T88" s="119"/>
      <c r="U88" s="119"/>
      <c r="V88" s="119"/>
      <c r="W88" s="119"/>
      <c r="X88" s="119"/>
      <c r="Y88" s="119"/>
      <c r="Z88" s="119"/>
      <c r="AA88" s="119"/>
      <c r="AB88" s="119"/>
      <c r="AC88" s="119"/>
      <c r="AD88" s="119"/>
      <c r="AE88" s="119"/>
      <c r="AF88" s="119"/>
      <c r="AG88" s="119"/>
      <c r="AH88" s="119"/>
      <c r="AI88" s="119"/>
      <c r="AJ88" s="119"/>
      <c r="AK88" s="119"/>
      <c r="AL88" s="119"/>
      <c r="AM88" s="119"/>
      <c r="AN88" s="119"/>
      <c r="AO88" s="119"/>
      <c r="AP88" s="119"/>
      <c r="AQ88" s="119"/>
      <c r="AR88" s="119"/>
      <c r="AS88" s="119"/>
      <c r="AT88" s="119"/>
      <c r="AU88" s="119"/>
      <c r="AV88" s="119"/>
      <c r="AW88" s="119"/>
      <c r="AX88" s="119"/>
      <c r="AY88" s="119"/>
      <c r="AZ88" s="119"/>
      <c r="BA88" s="119"/>
      <c r="BB88" s="119"/>
      <c r="BC88" s="119"/>
      <c r="BD88" s="119"/>
      <c r="BE88" s="119"/>
      <c r="BF88" s="119"/>
      <c r="BG88" s="119"/>
      <c r="BH88" s="119"/>
      <c r="BI88" s="119"/>
      <c r="BJ88" s="119"/>
      <c r="BK88" s="119"/>
      <c r="BL88" s="119"/>
      <c r="BM88" s="119"/>
      <c r="BN88" s="119"/>
      <c r="BO88" s="119"/>
      <c r="BP88" s="119"/>
      <c r="BQ88" s="119"/>
      <c r="BR88" s="119"/>
      <c r="BS88" s="119"/>
      <c r="BT88" s="119"/>
      <c r="BU88" s="119"/>
      <c r="BV88" s="119"/>
      <c r="BW88" s="119"/>
      <c r="BX88" s="119"/>
      <c r="BY88" s="119"/>
      <c r="BZ88" s="119"/>
      <c r="CA88" s="119"/>
      <c r="CB88" s="119"/>
      <c r="CC88" s="119"/>
      <c r="CD88" s="119"/>
      <c r="CE88" s="119"/>
      <c r="CF88" s="119"/>
      <c r="CG88" s="119"/>
      <c r="CH88" s="119"/>
      <c r="CI88" s="119"/>
      <c r="CJ88" s="119"/>
      <c r="CK88" s="119"/>
      <c r="CL88" s="119"/>
      <c r="CM88" s="119"/>
      <c r="CN88" s="119"/>
      <c r="CO88" s="119"/>
      <c r="CP88" s="119"/>
      <c r="CQ88" s="119"/>
      <c r="CR88" s="119"/>
      <c r="CS88" s="119"/>
      <c r="CT88" s="119"/>
      <c r="CU88" s="119"/>
      <c r="CV88" s="119"/>
      <c r="CW88" s="119"/>
      <c r="CX88" s="119"/>
      <c r="CY88" s="119"/>
      <c r="CZ88" s="119"/>
      <c r="DA88" s="119"/>
      <c r="DB88" s="119"/>
      <c r="DC88" s="119"/>
      <c r="DD88" s="119"/>
      <c r="DE88" s="119"/>
      <c r="DF88" s="119"/>
      <c r="DG88" s="119"/>
      <c r="DH88" s="119"/>
      <c r="DI88" s="119"/>
      <c r="DJ88" s="119"/>
      <c r="DK88" s="119"/>
      <c r="DL88" s="119"/>
      <c r="DM88" s="119"/>
      <c r="DN88" s="119"/>
      <c r="DO88" s="119"/>
      <c r="DP88" s="119"/>
      <c r="DQ88" s="119"/>
      <c r="DR88" s="119"/>
      <c r="DS88" s="119"/>
      <c r="DT88" s="119"/>
      <c r="DU88" s="119"/>
      <c r="DV88" s="119"/>
      <c r="DW88" s="119"/>
      <c r="DX88" s="119"/>
      <c r="DY88" s="119"/>
      <c r="DZ88" s="119"/>
      <c r="EA88" s="119"/>
      <c r="EB88" s="119"/>
      <c r="EC88" s="119"/>
      <c r="ED88" s="119"/>
      <c r="EE88" s="119"/>
      <c r="EF88" s="119"/>
      <c r="EG88" s="119"/>
      <c r="EH88" s="119"/>
      <c r="EI88" s="119"/>
      <c r="EJ88" s="119"/>
      <c r="EK88" s="119"/>
      <c r="EL88" s="119"/>
      <c r="EM88" s="119"/>
      <c r="EN88" s="119"/>
      <c r="EO88" s="119"/>
      <c r="EP88" s="119"/>
      <c r="EQ88" s="119"/>
      <c r="ER88" s="119"/>
      <c r="ES88" s="119"/>
      <c r="ET88" s="119"/>
      <c r="EU88" s="119"/>
      <c r="EV88" s="119"/>
      <c r="EW88" s="119"/>
      <c r="EX88" s="119"/>
      <c r="EY88" s="119"/>
      <c r="EZ88" s="119"/>
      <c r="FA88" s="119"/>
      <c r="FB88" s="119"/>
      <c r="FC88" s="119"/>
      <c r="FD88" s="119"/>
      <c r="FE88" s="119"/>
      <c r="FF88" s="119"/>
      <c r="FG88" s="119"/>
      <c r="FH88" s="119"/>
      <c r="FI88" s="119"/>
      <c r="FJ88" s="119"/>
      <c r="FK88" s="119"/>
      <c r="FL88" s="119"/>
      <c r="FM88" s="119"/>
      <c r="FN88" s="119"/>
      <c r="FO88" s="119"/>
      <c r="FP88" s="119"/>
      <c r="FQ88" s="119"/>
      <c r="FR88" s="119"/>
      <c r="FS88" s="119"/>
      <c r="FT88" s="119"/>
      <c r="FU88" s="119"/>
      <c r="FV88" s="119"/>
      <c r="FW88" s="119"/>
      <c r="FX88" s="119"/>
      <c r="FY88" s="119"/>
      <c r="FZ88" s="119"/>
      <c r="GA88" s="119"/>
      <c r="GB88" s="119"/>
      <c r="GC88" s="119"/>
      <c r="GD88" s="119"/>
      <c r="GE88" s="119"/>
      <c r="GF88" s="119"/>
      <c r="GG88" s="119"/>
      <c r="GH88" s="119"/>
      <c r="GI88" s="119"/>
      <c r="GJ88" s="119"/>
      <c r="GK88" s="119"/>
      <c r="GL88" s="119"/>
      <c r="GM88" s="119"/>
      <c r="GN88" s="119"/>
      <c r="GO88" s="119"/>
      <c r="GP88" s="119"/>
      <c r="GQ88" s="119"/>
      <c r="GR88" s="119"/>
      <c r="GS88" s="119"/>
      <c r="GT88" s="119"/>
      <c r="GU88" s="119"/>
      <c r="GV88" s="119"/>
      <c r="GW88" s="119"/>
      <c r="GX88" s="119"/>
      <c r="GY88" s="119"/>
      <c r="GZ88" s="119"/>
      <c r="HA88" s="119"/>
      <c r="HB88" s="119"/>
      <c r="HC88" s="119"/>
      <c r="HD88" s="119"/>
      <c r="HE88" s="119"/>
      <c r="HF88" s="119"/>
      <c r="HG88" s="119"/>
      <c r="HH88" s="119"/>
      <c r="HI88" s="119"/>
      <c r="HJ88" s="119"/>
      <c r="HK88" s="119"/>
      <c r="HL88" s="119"/>
      <c r="HM88" s="119"/>
      <c r="HN88" s="119"/>
      <c r="HO88" s="119"/>
      <c r="HP88" s="119"/>
      <c r="HQ88" s="119"/>
      <c r="HR88" s="119"/>
      <c r="HS88" s="119"/>
      <c r="HT88" s="119"/>
      <c r="HU88" s="119"/>
      <c r="HV88" s="119"/>
      <c r="HW88" s="119"/>
      <c r="HX88" s="119"/>
      <c r="HY88" s="119"/>
      <c r="HZ88" s="119"/>
      <c r="IA88" s="119"/>
      <c r="IB88" s="119"/>
      <c r="IC88" s="119"/>
      <c r="ID88" s="119"/>
      <c r="IE88" s="119"/>
      <c r="IF88" s="119"/>
      <c r="IG88" s="119"/>
      <c r="IH88" s="119"/>
      <c r="II88" s="119"/>
      <c r="IJ88" s="119"/>
      <c r="IK88" s="119"/>
      <c r="IL88" s="119"/>
      <c r="IM88" s="119"/>
      <c r="IN88" s="119"/>
      <c r="IO88" s="119"/>
      <c r="IP88" s="119"/>
      <c r="IQ88" s="119"/>
      <c r="IR88" s="119"/>
      <c r="IS88" s="119"/>
      <c r="IT88" s="119"/>
      <c r="IU88" s="119"/>
      <c r="IV88" s="119"/>
      <c r="IW88" s="119"/>
    </row>
    <row r="89" spans="1:257" s="187" customFormat="1" ht="18" customHeight="1" x14ac:dyDescent="0.35">
      <c r="A89" s="195">
        <v>80</v>
      </c>
      <c r="B89" s="192"/>
      <c r="C89" s="120"/>
      <c r="D89" s="1265" t="s">
        <v>656</v>
      </c>
      <c r="E89" s="547"/>
      <c r="F89" s="695"/>
      <c r="G89" s="552"/>
      <c r="H89" s="240"/>
      <c r="I89" s="1280"/>
      <c r="J89" s="1280"/>
      <c r="K89" s="1288"/>
      <c r="L89" s="1288"/>
      <c r="M89" s="1288"/>
      <c r="N89" s="1280"/>
      <c r="O89" s="1793"/>
      <c r="P89" s="1281">
        <f>SUM(I89:N89)</f>
        <v>0</v>
      </c>
      <c r="Q89" s="694"/>
      <c r="R89" s="119"/>
      <c r="S89" s="119"/>
      <c r="T89" s="119"/>
      <c r="U89" s="119"/>
      <c r="V89" s="119"/>
      <c r="W89" s="119"/>
      <c r="X89" s="119"/>
      <c r="Y89" s="119"/>
      <c r="Z89" s="119"/>
      <c r="AA89" s="119"/>
      <c r="AB89" s="119"/>
      <c r="AC89" s="119"/>
      <c r="AD89" s="119"/>
      <c r="AE89" s="119"/>
      <c r="AF89" s="119"/>
      <c r="AG89" s="119"/>
      <c r="AH89" s="119"/>
      <c r="AI89" s="119"/>
      <c r="AJ89" s="119"/>
      <c r="AK89" s="119"/>
      <c r="AL89" s="119"/>
      <c r="AM89" s="119"/>
      <c r="AN89" s="119"/>
      <c r="AO89" s="119"/>
      <c r="AP89" s="119"/>
      <c r="AQ89" s="119"/>
      <c r="AR89" s="119"/>
      <c r="AS89" s="119"/>
      <c r="AT89" s="119"/>
      <c r="AU89" s="119"/>
      <c r="AV89" s="119"/>
      <c r="AW89" s="119"/>
      <c r="AX89" s="119"/>
      <c r="AY89" s="119"/>
      <c r="AZ89" s="119"/>
      <c r="BA89" s="119"/>
      <c r="BB89" s="119"/>
      <c r="BC89" s="119"/>
      <c r="BD89" s="119"/>
      <c r="BE89" s="119"/>
      <c r="BF89" s="119"/>
      <c r="BG89" s="119"/>
      <c r="BH89" s="119"/>
      <c r="BI89" s="119"/>
      <c r="BJ89" s="119"/>
      <c r="BK89" s="119"/>
      <c r="BL89" s="119"/>
      <c r="BM89" s="119"/>
      <c r="BN89" s="119"/>
      <c r="BO89" s="119"/>
      <c r="BP89" s="119"/>
      <c r="BQ89" s="119"/>
      <c r="BR89" s="119"/>
      <c r="BS89" s="119"/>
      <c r="BT89" s="119"/>
      <c r="BU89" s="119"/>
      <c r="BV89" s="119"/>
      <c r="BW89" s="119"/>
      <c r="BX89" s="119"/>
      <c r="BY89" s="119"/>
      <c r="BZ89" s="119"/>
      <c r="CA89" s="119"/>
      <c r="CB89" s="119"/>
      <c r="CC89" s="119"/>
      <c r="CD89" s="119"/>
      <c r="CE89" s="119"/>
      <c r="CF89" s="119"/>
      <c r="CG89" s="119"/>
      <c r="CH89" s="119"/>
      <c r="CI89" s="119"/>
      <c r="CJ89" s="119"/>
      <c r="CK89" s="119"/>
      <c r="CL89" s="119"/>
      <c r="CM89" s="119"/>
      <c r="CN89" s="119"/>
      <c r="CO89" s="119"/>
      <c r="CP89" s="119"/>
      <c r="CQ89" s="119"/>
      <c r="CR89" s="119"/>
      <c r="CS89" s="119"/>
      <c r="CT89" s="119"/>
      <c r="CU89" s="119"/>
      <c r="CV89" s="119"/>
      <c r="CW89" s="119"/>
      <c r="CX89" s="119"/>
      <c r="CY89" s="119"/>
      <c r="CZ89" s="119"/>
      <c r="DA89" s="119"/>
      <c r="DB89" s="119"/>
      <c r="DC89" s="119"/>
      <c r="DD89" s="119"/>
      <c r="DE89" s="119"/>
      <c r="DF89" s="119"/>
      <c r="DG89" s="119"/>
      <c r="DH89" s="119"/>
      <c r="DI89" s="119"/>
      <c r="DJ89" s="119"/>
      <c r="DK89" s="119"/>
      <c r="DL89" s="119"/>
      <c r="DM89" s="119"/>
      <c r="DN89" s="119"/>
      <c r="DO89" s="119"/>
      <c r="DP89" s="119"/>
      <c r="DQ89" s="119"/>
      <c r="DR89" s="119"/>
      <c r="DS89" s="119"/>
      <c r="DT89" s="119"/>
      <c r="DU89" s="119"/>
      <c r="DV89" s="119"/>
      <c r="DW89" s="119"/>
      <c r="DX89" s="119"/>
      <c r="DY89" s="119"/>
      <c r="DZ89" s="119"/>
      <c r="EA89" s="119"/>
      <c r="EB89" s="119"/>
      <c r="EC89" s="119"/>
      <c r="ED89" s="119"/>
      <c r="EE89" s="119"/>
      <c r="EF89" s="119"/>
      <c r="EG89" s="119"/>
      <c r="EH89" s="119"/>
      <c r="EI89" s="119"/>
      <c r="EJ89" s="119"/>
      <c r="EK89" s="119"/>
      <c r="EL89" s="119"/>
      <c r="EM89" s="119"/>
      <c r="EN89" s="119"/>
      <c r="EO89" s="119"/>
      <c r="EP89" s="119"/>
      <c r="EQ89" s="119"/>
      <c r="ER89" s="119"/>
      <c r="ES89" s="119"/>
      <c r="ET89" s="119"/>
      <c r="EU89" s="119"/>
      <c r="EV89" s="119"/>
      <c r="EW89" s="119"/>
      <c r="EX89" s="119"/>
      <c r="EY89" s="119"/>
      <c r="EZ89" s="119"/>
      <c r="FA89" s="119"/>
      <c r="FB89" s="119"/>
      <c r="FC89" s="119"/>
      <c r="FD89" s="119"/>
      <c r="FE89" s="119"/>
      <c r="FF89" s="119"/>
      <c r="FG89" s="119"/>
      <c r="FH89" s="119"/>
      <c r="FI89" s="119"/>
      <c r="FJ89" s="119"/>
      <c r="FK89" s="119"/>
      <c r="FL89" s="119"/>
      <c r="FM89" s="119"/>
      <c r="FN89" s="119"/>
      <c r="FO89" s="119"/>
      <c r="FP89" s="119"/>
      <c r="FQ89" s="119"/>
      <c r="FR89" s="119"/>
      <c r="FS89" s="119"/>
      <c r="FT89" s="119"/>
      <c r="FU89" s="119"/>
      <c r="FV89" s="119"/>
      <c r="FW89" s="119"/>
      <c r="FX89" s="119"/>
      <c r="FY89" s="119"/>
      <c r="FZ89" s="119"/>
      <c r="GA89" s="119"/>
      <c r="GB89" s="119"/>
      <c r="GC89" s="119"/>
      <c r="GD89" s="119"/>
      <c r="GE89" s="119"/>
      <c r="GF89" s="119"/>
      <c r="GG89" s="119"/>
      <c r="GH89" s="119"/>
      <c r="GI89" s="119"/>
      <c r="GJ89" s="119"/>
      <c r="GK89" s="119"/>
      <c r="GL89" s="119"/>
      <c r="GM89" s="119"/>
      <c r="GN89" s="119"/>
      <c r="GO89" s="119"/>
      <c r="GP89" s="119"/>
      <c r="GQ89" s="119"/>
      <c r="GR89" s="119"/>
      <c r="GS89" s="119"/>
      <c r="GT89" s="119"/>
      <c r="GU89" s="119"/>
      <c r="GV89" s="119"/>
      <c r="GW89" s="119"/>
      <c r="GX89" s="119"/>
      <c r="GY89" s="119"/>
      <c r="GZ89" s="119"/>
      <c r="HA89" s="119"/>
      <c r="HB89" s="119"/>
      <c r="HC89" s="119"/>
      <c r="HD89" s="119"/>
      <c r="HE89" s="119"/>
      <c r="HF89" s="119"/>
      <c r="HG89" s="119"/>
      <c r="HH89" s="119"/>
      <c r="HI89" s="119"/>
      <c r="HJ89" s="119"/>
      <c r="HK89" s="119"/>
      <c r="HL89" s="119"/>
      <c r="HM89" s="119"/>
      <c r="HN89" s="119"/>
      <c r="HO89" s="119"/>
      <c r="HP89" s="119"/>
      <c r="HQ89" s="119"/>
      <c r="HR89" s="119"/>
      <c r="HS89" s="119"/>
      <c r="HT89" s="119"/>
      <c r="HU89" s="119"/>
      <c r="HV89" s="119"/>
      <c r="HW89" s="119"/>
      <c r="HX89" s="119"/>
      <c r="HY89" s="119"/>
      <c r="HZ89" s="119"/>
      <c r="IA89" s="119"/>
      <c r="IB89" s="119"/>
      <c r="IC89" s="119"/>
      <c r="ID89" s="119"/>
      <c r="IE89" s="119"/>
      <c r="IF89" s="119"/>
      <c r="IG89" s="119"/>
      <c r="IH89" s="119"/>
      <c r="II89" s="119"/>
      <c r="IJ89" s="119"/>
      <c r="IK89" s="119"/>
      <c r="IL89" s="119"/>
      <c r="IM89" s="119"/>
      <c r="IN89" s="119"/>
      <c r="IO89" s="119"/>
      <c r="IP89" s="119"/>
      <c r="IQ89" s="119"/>
      <c r="IR89" s="119"/>
      <c r="IS89" s="119"/>
      <c r="IT89" s="119"/>
      <c r="IU89" s="119"/>
      <c r="IV89" s="119"/>
      <c r="IW89" s="119"/>
    </row>
    <row r="90" spans="1:257" s="187" customFormat="1" ht="18" customHeight="1" x14ac:dyDescent="0.35">
      <c r="A90" s="195">
        <v>81</v>
      </c>
      <c r="B90" s="192"/>
      <c r="C90" s="120"/>
      <c r="D90" s="1266" t="s">
        <v>862</v>
      </c>
      <c r="E90" s="547"/>
      <c r="F90" s="695"/>
      <c r="G90" s="552"/>
      <c r="H90" s="240"/>
      <c r="I90" s="559"/>
      <c r="J90" s="559"/>
      <c r="K90" s="1287">
        <f>SUM(K88:K89)</f>
        <v>1038</v>
      </c>
      <c r="L90" s="1287"/>
      <c r="M90" s="1287">
        <f t="shared" ref="M90" si="23">SUM(M88:M89)</f>
        <v>528201</v>
      </c>
      <c r="N90" s="1284"/>
      <c r="O90" s="693"/>
      <c r="P90" s="1272">
        <f>SUM(I90:N90)</f>
        <v>529239</v>
      </c>
      <c r="Q90" s="694"/>
      <c r="R90" s="119"/>
      <c r="S90" s="119"/>
      <c r="T90" s="119"/>
      <c r="U90" s="119"/>
      <c r="V90" s="119"/>
      <c r="W90" s="119"/>
      <c r="X90" s="119"/>
      <c r="Y90" s="119"/>
      <c r="Z90" s="119"/>
      <c r="AA90" s="119"/>
      <c r="AB90" s="119"/>
      <c r="AC90" s="119"/>
      <c r="AD90" s="119"/>
      <c r="AE90" s="119"/>
      <c r="AF90" s="119"/>
      <c r="AG90" s="119"/>
      <c r="AH90" s="119"/>
      <c r="AI90" s="119"/>
      <c r="AJ90" s="119"/>
      <c r="AK90" s="119"/>
      <c r="AL90" s="119"/>
      <c r="AM90" s="119"/>
      <c r="AN90" s="119"/>
      <c r="AO90" s="119"/>
      <c r="AP90" s="119"/>
      <c r="AQ90" s="119"/>
      <c r="AR90" s="119"/>
      <c r="AS90" s="119"/>
      <c r="AT90" s="119"/>
      <c r="AU90" s="119"/>
      <c r="AV90" s="119"/>
      <c r="AW90" s="119"/>
      <c r="AX90" s="119"/>
      <c r="AY90" s="119"/>
      <c r="AZ90" s="119"/>
      <c r="BA90" s="119"/>
      <c r="BB90" s="119"/>
      <c r="BC90" s="119"/>
      <c r="BD90" s="119"/>
      <c r="BE90" s="119"/>
      <c r="BF90" s="119"/>
      <c r="BG90" s="119"/>
      <c r="BH90" s="119"/>
      <c r="BI90" s="119"/>
      <c r="BJ90" s="119"/>
      <c r="BK90" s="119"/>
      <c r="BL90" s="119"/>
      <c r="BM90" s="119"/>
      <c r="BN90" s="119"/>
      <c r="BO90" s="119"/>
      <c r="BP90" s="119"/>
      <c r="BQ90" s="119"/>
      <c r="BR90" s="119"/>
      <c r="BS90" s="119"/>
      <c r="BT90" s="119"/>
      <c r="BU90" s="119"/>
      <c r="BV90" s="119"/>
      <c r="BW90" s="119"/>
      <c r="BX90" s="119"/>
      <c r="BY90" s="119"/>
      <c r="BZ90" s="119"/>
      <c r="CA90" s="119"/>
      <c r="CB90" s="119"/>
      <c r="CC90" s="119"/>
      <c r="CD90" s="119"/>
      <c r="CE90" s="119"/>
      <c r="CF90" s="119"/>
      <c r="CG90" s="119"/>
      <c r="CH90" s="119"/>
      <c r="CI90" s="119"/>
      <c r="CJ90" s="119"/>
      <c r="CK90" s="119"/>
      <c r="CL90" s="119"/>
      <c r="CM90" s="119"/>
      <c r="CN90" s="119"/>
      <c r="CO90" s="119"/>
      <c r="CP90" s="119"/>
      <c r="CQ90" s="119"/>
      <c r="CR90" s="119"/>
      <c r="CS90" s="119"/>
      <c r="CT90" s="119"/>
      <c r="CU90" s="119"/>
      <c r="CV90" s="119"/>
      <c r="CW90" s="119"/>
      <c r="CX90" s="119"/>
      <c r="CY90" s="119"/>
      <c r="CZ90" s="119"/>
      <c r="DA90" s="119"/>
      <c r="DB90" s="119"/>
      <c r="DC90" s="119"/>
      <c r="DD90" s="119"/>
      <c r="DE90" s="119"/>
      <c r="DF90" s="119"/>
      <c r="DG90" s="119"/>
      <c r="DH90" s="119"/>
      <c r="DI90" s="119"/>
      <c r="DJ90" s="119"/>
      <c r="DK90" s="119"/>
      <c r="DL90" s="119"/>
      <c r="DM90" s="119"/>
      <c r="DN90" s="119"/>
      <c r="DO90" s="119"/>
      <c r="DP90" s="119"/>
      <c r="DQ90" s="119"/>
      <c r="DR90" s="119"/>
      <c r="DS90" s="119"/>
      <c r="DT90" s="119"/>
      <c r="DU90" s="119"/>
      <c r="DV90" s="119"/>
      <c r="DW90" s="119"/>
      <c r="DX90" s="119"/>
      <c r="DY90" s="119"/>
      <c r="DZ90" s="119"/>
      <c r="EA90" s="119"/>
      <c r="EB90" s="119"/>
      <c r="EC90" s="119"/>
      <c r="ED90" s="119"/>
      <c r="EE90" s="119"/>
      <c r="EF90" s="119"/>
      <c r="EG90" s="119"/>
      <c r="EH90" s="119"/>
      <c r="EI90" s="119"/>
      <c r="EJ90" s="119"/>
      <c r="EK90" s="119"/>
      <c r="EL90" s="119"/>
      <c r="EM90" s="119"/>
      <c r="EN90" s="119"/>
      <c r="EO90" s="119"/>
      <c r="EP90" s="119"/>
      <c r="EQ90" s="119"/>
      <c r="ER90" s="119"/>
      <c r="ES90" s="119"/>
      <c r="ET90" s="119"/>
      <c r="EU90" s="119"/>
      <c r="EV90" s="119"/>
      <c r="EW90" s="119"/>
      <c r="EX90" s="119"/>
      <c r="EY90" s="119"/>
      <c r="EZ90" s="119"/>
      <c r="FA90" s="119"/>
      <c r="FB90" s="119"/>
      <c r="FC90" s="119"/>
      <c r="FD90" s="119"/>
      <c r="FE90" s="119"/>
      <c r="FF90" s="119"/>
      <c r="FG90" s="119"/>
      <c r="FH90" s="119"/>
      <c r="FI90" s="119"/>
      <c r="FJ90" s="119"/>
      <c r="FK90" s="119"/>
      <c r="FL90" s="119"/>
      <c r="FM90" s="119"/>
      <c r="FN90" s="119"/>
      <c r="FO90" s="119"/>
      <c r="FP90" s="119"/>
      <c r="FQ90" s="119"/>
      <c r="FR90" s="119"/>
      <c r="FS90" s="119"/>
      <c r="FT90" s="119"/>
      <c r="FU90" s="119"/>
      <c r="FV90" s="119"/>
      <c r="FW90" s="119"/>
      <c r="FX90" s="119"/>
      <c r="FY90" s="119"/>
      <c r="FZ90" s="119"/>
      <c r="GA90" s="119"/>
      <c r="GB90" s="119"/>
      <c r="GC90" s="119"/>
      <c r="GD90" s="119"/>
      <c r="GE90" s="119"/>
      <c r="GF90" s="119"/>
      <c r="GG90" s="119"/>
      <c r="GH90" s="119"/>
      <c r="GI90" s="119"/>
      <c r="GJ90" s="119"/>
      <c r="GK90" s="119"/>
      <c r="GL90" s="119"/>
      <c r="GM90" s="119"/>
      <c r="GN90" s="119"/>
      <c r="GO90" s="119"/>
      <c r="GP90" s="119"/>
      <c r="GQ90" s="119"/>
      <c r="GR90" s="119"/>
      <c r="GS90" s="119"/>
      <c r="GT90" s="119"/>
      <c r="GU90" s="119"/>
      <c r="GV90" s="119"/>
      <c r="GW90" s="119"/>
      <c r="GX90" s="119"/>
      <c r="GY90" s="119"/>
      <c r="GZ90" s="119"/>
      <c r="HA90" s="119"/>
      <c r="HB90" s="119"/>
      <c r="HC90" s="119"/>
      <c r="HD90" s="119"/>
      <c r="HE90" s="119"/>
      <c r="HF90" s="119"/>
      <c r="HG90" s="119"/>
      <c r="HH90" s="119"/>
      <c r="HI90" s="119"/>
      <c r="HJ90" s="119"/>
      <c r="HK90" s="119"/>
      <c r="HL90" s="119"/>
      <c r="HM90" s="119"/>
      <c r="HN90" s="119"/>
      <c r="HO90" s="119"/>
      <c r="HP90" s="119"/>
      <c r="HQ90" s="119"/>
      <c r="HR90" s="119"/>
      <c r="HS90" s="119"/>
      <c r="HT90" s="119"/>
      <c r="HU90" s="119"/>
      <c r="HV90" s="119"/>
      <c r="HW90" s="119"/>
      <c r="HX90" s="119"/>
      <c r="HY90" s="119"/>
      <c r="HZ90" s="119"/>
      <c r="IA90" s="119"/>
      <c r="IB90" s="119"/>
      <c r="IC90" s="119"/>
      <c r="ID90" s="119"/>
      <c r="IE90" s="119"/>
      <c r="IF90" s="119"/>
      <c r="IG90" s="119"/>
      <c r="IH90" s="119"/>
      <c r="II90" s="119"/>
      <c r="IJ90" s="119"/>
      <c r="IK90" s="119"/>
      <c r="IL90" s="119"/>
      <c r="IM90" s="119"/>
      <c r="IN90" s="119"/>
      <c r="IO90" s="119"/>
      <c r="IP90" s="119"/>
      <c r="IQ90" s="119"/>
      <c r="IR90" s="119"/>
      <c r="IS90" s="119"/>
      <c r="IT90" s="119"/>
      <c r="IU90" s="119"/>
      <c r="IV90" s="119"/>
      <c r="IW90" s="119"/>
    </row>
    <row r="91" spans="1:257" s="187" customFormat="1" ht="22.35" customHeight="1" x14ac:dyDescent="0.35">
      <c r="A91" s="195">
        <v>82</v>
      </c>
      <c r="B91" s="192"/>
      <c r="C91" s="133">
        <v>33</v>
      </c>
      <c r="D91" s="277" t="s">
        <v>516</v>
      </c>
      <c r="E91" s="547">
        <f>F91+G91+P95+Q92</f>
        <v>19990</v>
      </c>
      <c r="F91" s="695"/>
      <c r="G91" s="552">
        <v>19926</v>
      </c>
      <c r="H91" s="578" t="s">
        <v>24</v>
      </c>
      <c r="I91" s="275"/>
      <c r="J91" s="275"/>
      <c r="K91" s="275"/>
      <c r="L91" s="275"/>
      <c r="M91" s="275"/>
      <c r="N91" s="686"/>
      <c r="O91" s="1784"/>
      <c r="P91" s="217"/>
      <c r="Q91" s="694"/>
      <c r="R91" s="119"/>
      <c r="S91" s="119"/>
      <c r="T91" s="119"/>
      <c r="U91" s="119"/>
      <c r="V91" s="119"/>
      <c r="W91" s="119"/>
      <c r="X91" s="119"/>
      <c r="Y91" s="119"/>
      <c r="Z91" s="119"/>
      <c r="AA91" s="119"/>
      <c r="AB91" s="119"/>
      <c r="AC91" s="119"/>
      <c r="AD91" s="119"/>
      <c r="AE91" s="119"/>
      <c r="AF91" s="119"/>
      <c r="AG91" s="119"/>
      <c r="AH91" s="119"/>
      <c r="AI91" s="119"/>
      <c r="AJ91" s="119"/>
      <c r="AK91" s="119"/>
      <c r="AL91" s="119"/>
      <c r="AM91" s="119"/>
      <c r="AN91" s="119"/>
      <c r="AO91" s="119"/>
      <c r="AP91" s="119"/>
      <c r="AQ91" s="119"/>
      <c r="AR91" s="119"/>
      <c r="AS91" s="119"/>
      <c r="AT91" s="119"/>
      <c r="AU91" s="119"/>
      <c r="AV91" s="119"/>
      <c r="AW91" s="119"/>
      <c r="AX91" s="119"/>
      <c r="AY91" s="119"/>
      <c r="AZ91" s="119"/>
      <c r="BA91" s="119"/>
      <c r="BB91" s="119"/>
      <c r="BC91" s="119"/>
      <c r="BD91" s="119"/>
      <c r="BE91" s="119"/>
      <c r="BF91" s="119"/>
      <c r="BG91" s="119"/>
      <c r="BH91" s="119"/>
      <c r="BI91" s="119"/>
      <c r="BJ91" s="119"/>
      <c r="BK91" s="119"/>
      <c r="BL91" s="119"/>
      <c r="BM91" s="119"/>
      <c r="BN91" s="119"/>
      <c r="BO91" s="119"/>
      <c r="BP91" s="119"/>
      <c r="BQ91" s="119"/>
      <c r="BR91" s="119"/>
      <c r="BS91" s="119"/>
      <c r="BT91" s="119"/>
      <c r="BU91" s="119"/>
      <c r="BV91" s="119"/>
      <c r="BW91" s="119"/>
      <c r="BX91" s="119"/>
      <c r="BY91" s="119"/>
      <c r="BZ91" s="119"/>
      <c r="CA91" s="119"/>
      <c r="CB91" s="119"/>
      <c r="CC91" s="119"/>
      <c r="CD91" s="119"/>
      <c r="CE91" s="119"/>
      <c r="CF91" s="119"/>
      <c r="CG91" s="119"/>
      <c r="CH91" s="119"/>
      <c r="CI91" s="119"/>
      <c r="CJ91" s="119"/>
      <c r="CK91" s="119"/>
      <c r="CL91" s="119"/>
      <c r="CM91" s="119"/>
      <c r="CN91" s="119"/>
      <c r="CO91" s="119"/>
      <c r="CP91" s="119"/>
      <c r="CQ91" s="119"/>
      <c r="CR91" s="119"/>
      <c r="CS91" s="119"/>
      <c r="CT91" s="119"/>
      <c r="CU91" s="119"/>
      <c r="CV91" s="119"/>
      <c r="CW91" s="119"/>
      <c r="CX91" s="119"/>
      <c r="CY91" s="119"/>
      <c r="CZ91" s="119"/>
      <c r="DA91" s="119"/>
      <c r="DB91" s="119"/>
      <c r="DC91" s="119"/>
      <c r="DD91" s="119"/>
      <c r="DE91" s="119"/>
      <c r="DF91" s="119"/>
      <c r="DG91" s="119"/>
      <c r="DH91" s="119"/>
      <c r="DI91" s="119"/>
      <c r="DJ91" s="119"/>
      <c r="DK91" s="119"/>
      <c r="DL91" s="119"/>
      <c r="DM91" s="119"/>
      <c r="DN91" s="119"/>
      <c r="DO91" s="119"/>
      <c r="DP91" s="119"/>
      <c r="DQ91" s="119"/>
      <c r="DR91" s="119"/>
      <c r="DS91" s="119"/>
      <c r="DT91" s="119"/>
      <c r="DU91" s="119"/>
      <c r="DV91" s="119"/>
      <c r="DW91" s="119"/>
      <c r="DX91" s="119"/>
      <c r="DY91" s="119"/>
      <c r="DZ91" s="119"/>
      <c r="EA91" s="119"/>
      <c r="EB91" s="119"/>
      <c r="EC91" s="119"/>
      <c r="ED91" s="119"/>
      <c r="EE91" s="119"/>
      <c r="EF91" s="119"/>
      <c r="EG91" s="119"/>
      <c r="EH91" s="119"/>
      <c r="EI91" s="119"/>
      <c r="EJ91" s="119"/>
      <c r="EK91" s="119"/>
      <c r="EL91" s="119"/>
      <c r="EM91" s="119"/>
      <c r="EN91" s="119"/>
      <c r="EO91" s="119"/>
      <c r="EP91" s="119"/>
      <c r="EQ91" s="119"/>
      <c r="ER91" s="119"/>
      <c r="ES91" s="119"/>
      <c r="ET91" s="119"/>
      <c r="EU91" s="119"/>
      <c r="EV91" s="119"/>
      <c r="EW91" s="119"/>
      <c r="EX91" s="119"/>
      <c r="EY91" s="119"/>
      <c r="EZ91" s="119"/>
      <c r="FA91" s="119"/>
      <c r="FB91" s="119"/>
      <c r="FC91" s="119"/>
      <c r="FD91" s="119"/>
      <c r="FE91" s="119"/>
      <c r="FF91" s="119"/>
      <c r="FG91" s="119"/>
      <c r="FH91" s="119"/>
      <c r="FI91" s="119"/>
      <c r="FJ91" s="119"/>
      <c r="FK91" s="119"/>
      <c r="FL91" s="119"/>
      <c r="FM91" s="119"/>
      <c r="FN91" s="119"/>
      <c r="FO91" s="119"/>
      <c r="FP91" s="119"/>
      <c r="FQ91" s="119"/>
      <c r="FR91" s="119"/>
      <c r="FS91" s="119"/>
      <c r="FT91" s="119"/>
      <c r="FU91" s="119"/>
      <c r="FV91" s="119"/>
      <c r="FW91" s="119"/>
      <c r="FX91" s="119"/>
      <c r="FY91" s="119"/>
      <c r="FZ91" s="119"/>
      <c r="GA91" s="119"/>
      <c r="GB91" s="119"/>
      <c r="GC91" s="119"/>
      <c r="GD91" s="119"/>
      <c r="GE91" s="119"/>
      <c r="GF91" s="119"/>
      <c r="GG91" s="119"/>
      <c r="GH91" s="119"/>
      <c r="GI91" s="119"/>
      <c r="GJ91" s="119"/>
      <c r="GK91" s="119"/>
      <c r="GL91" s="119"/>
      <c r="GM91" s="119"/>
      <c r="GN91" s="119"/>
      <c r="GO91" s="119"/>
      <c r="GP91" s="119"/>
      <c r="GQ91" s="119"/>
      <c r="GR91" s="119"/>
      <c r="GS91" s="119"/>
      <c r="GT91" s="119"/>
      <c r="GU91" s="119"/>
      <c r="GV91" s="119"/>
      <c r="GW91" s="119"/>
      <c r="GX91" s="119"/>
      <c r="GY91" s="119"/>
      <c r="GZ91" s="119"/>
      <c r="HA91" s="119"/>
      <c r="HB91" s="119"/>
      <c r="HC91" s="119"/>
      <c r="HD91" s="119"/>
      <c r="HE91" s="119"/>
      <c r="HF91" s="119"/>
      <c r="HG91" s="119"/>
      <c r="HH91" s="119"/>
      <c r="HI91" s="119"/>
      <c r="HJ91" s="119"/>
      <c r="HK91" s="119"/>
      <c r="HL91" s="119"/>
      <c r="HM91" s="119"/>
      <c r="HN91" s="119"/>
      <c r="HO91" s="119"/>
      <c r="HP91" s="119"/>
      <c r="HQ91" s="119"/>
      <c r="HR91" s="119"/>
      <c r="HS91" s="119"/>
      <c r="HT91" s="119"/>
      <c r="HU91" s="119"/>
      <c r="HV91" s="119"/>
      <c r="HW91" s="119"/>
      <c r="HX91" s="119"/>
      <c r="HY91" s="119"/>
      <c r="HZ91" s="119"/>
      <c r="IA91" s="119"/>
      <c r="IB91" s="119"/>
      <c r="IC91" s="119"/>
      <c r="ID91" s="119"/>
      <c r="IE91" s="119"/>
      <c r="IF91" s="119"/>
      <c r="IG91" s="119"/>
      <c r="IH91" s="119"/>
      <c r="II91" s="119"/>
      <c r="IJ91" s="119"/>
      <c r="IK91" s="119"/>
      <c r="IL91" s="119"/>
      <c r="IM91" s="119"/>
      <c r="IN91" s="119"/>
      <c r="IO91" s="119"/>
      <c r="IP91" s="119"/>
      <c r="IQ91" s="119"/>
      <c r="IR91" s="119"/>
      <c r="IS91" s="119"/>
      <c r="IT91" s="119"/>
      <c r="IU91" s="119"/>
      <c r="IV91" s="119"/>
      <c r="IW91" s="119"/>
    </row>
    <row r="92" spans="1:257" s="187" customFormat="1" ht="18" customHeight="1" x14ac:dyDescent="0.35">
      <c r="A92" s="195">
        <v>83</v>
      </c>
      <c r="B92" s="192"/>
      <c r="C92" s="120"/>
      <c r="D92" s="221" t="s">
        <v>245</v>
      </c>
      <c r="E92" s="547"/>
      <c r="F92" s="547"/>
      <c r="G92" s="696"/>
      <c r="H92" s="224"/>
      <c r="I92" s="275"/>
      <c r="J92" s="275"/>
      <c r="K92" s="275"/>
      <c r="L92" s="275"/>
      <c r="M92" s="275"/>
      <c r="N92" s="275">
        <v>64</v>
      </c>
      <c r="O92" s="1794"/>
      <c r="P92" s="217">
        <f>SUM(I92:N92)</f>
        <v>64</v>
      </c>
      <c r="Q92" s="694"/>
      <c r="R92" s="119"/>
      <c r="S92" s="119"/>
      <c r="T92" s="119"/>
      <c r="U92" s="119"/>
      <c r="V92" s="119"/>
      <c r="W92" s="119"/>
      <c r="X92" s="119"/>
      <c r="Y92" s="119"/>
      <c r="Z92" s="119"/>
      <c r="AA92" s="119"/>
      <c r="AB92" s="119"/>
      <c r="AC92" s="119"/>
      <c r="AD92" s="119"/>
      <c r="AE92" s="119"/>
      <c r="AF92" s="119"/>
      <c r="AG92" s="119"/>
      <c r="AH92" s="119"/>
      <c r="AI92" s="119"/>
      <c r="AJ92" s="119"/>
      <c r="AK92" s="119"/>
      <c r="AL92" s="119"/>
      <c r="AM92" s="119"/>
      <c r="AN92" s="119"/>
      <c r="AO92" s="119"/>
      <c r="AP92" s="119"/>
      <c r="AQ92" s="119"/>
      <c r="AR92" s="119"/>
      <c r="AS92" s="119"/>
      <c r="AT92" s="119"/>
      <c r="AU92" s="119"/>
      <c r="AV92" s="119"/>
      <c r="AW92" s="119"/>
      <c r="AX92" s="119"/>
      <c r="AY92" s="119"/>
      <c r="AZ92" s="119"/>
      <c r="BA92" s="119"/>
      <c r="BB92" s="119"/>
      <c r="BC92" s="119"/>
      <c r="BD92" s="119"/>
      <c r="BE92" s="119"/>
      <c r="BF92" s="119"/>
      <c r="BG92" s="119"/>
      <c r="BH92" s="119"/>
      <c r="BI92" s="119"/>
      <c r="BJ92" s="119"/>
      <c r="BK92" s="119"/>
      <c r="BL92" s="119"/>
      <c r="BM92" s="119"/>
      <c r="BN92" s="119"/>
      <c r="BO92" s="119"/>
      <c r="BP92" s="119"/>
      <c r="BQ92" s="119"/>
      <c r="BR92" s="119"/>
      <c r="BS92" s="119"/>
      <c r="BT92" s="119"/>
      <c r="BU92" s="119"/>
      <c r="BV92" s="119"/>
      <c r="BW92" s="119"/>
      <c r="BX92" s="119"/>
      <c r="BY92" s="119"/>
      <c r="BZ92" s="119"/>
      <c r="CA92" s="119"/>
      <c r="CB92" s="119"/>
      <c r="CC92" s="119"/>
      <c r="CD92" s="119"/>
      <c r="CE92" s="119"/>
      <c r="CF92" s="119"/>
      <c r="CG92" s="119"/>
      <c r="CH92" s="119"/>
      <c r="CI92" s="119"/>
      <c r="CJ92" s="119"/>
      <c r="CK92" s="119"/>
      <c r="CL92" s="119"/>
      <c r="CM92" s="119"/>
      <c r="CN92" s="119"/>
      <c r="CO92" s="119"/>
      <c r="CP92" s="119"/>
      <c r="CQ92" s="119"/>
      <c r="CR92" s="119"/>
      <c r="CS92" s="119"/>
      <c r="CT92" s="119"/>
      <c r="CU92" s="119"/>
      <c r="CV92" s="119"/>
      <c r="CW92" s="119"/>
      <c r="CX92" s="119"/>
      <c r="CY92" s="119"/>
      <c r="CZ92" s="119"/>
      <c r="DA92" s="119"/>
      <c r="DB92" s="119"/>
      <c r="DC92" s="119"/>
      <c r="DD92" s="119"/>
      <c r="DE92" s="119"/>
      <c r="DF92" s="119"/>
      <c r="DG92" s="119"/>
      <c r="DH92" s="119"/>
      <c r="DI92" s="119"/>
      <c r="DJ92" s="119"/>
      <c r="DK92" s="119"/>
      <c r="DL92" s="119"/>
      <c r="DM92" s="119"/>
      <c r="DN92" s="119"/>
      <c r="DO92" s="119"/>
      <c r="DP92" s="119"/>
      <c r="DQ92" s="119"/>
      <c r="DR92" s="119"/>
      <c r="DS92" s="119"/>
      <c r="DT92" s="119"/>
      <c r="DU92" s="119"/>
      <c r="DV92" s="119"/>
      <c r="DW92" s="119"/>
      <c r="DX92" s="119"/>
      <c r="DY92" s="119"/>
      <c r="DZ92" s="119"/>
      <c r="EA92" s="119"/>
      <c r="EB92" s="119"/>
      <c r="EC92" s="119"/>
      <c r="ED92" s="119"/>
      <c r="EE92" s="119"/>
      <c r="EF92" s="119"/>
      <c r="EG92" s="119"/>
      <c r="EH92" s="119"/>
      <c r="EI92" s="119"/>
      <c r="EJ92" s="119"/>
      <c r="EK92" s="119"/>
      <c r="EL92" s="119"/>
      <c r="EM92" s="119"/>
      <c r="EN92" s="119"/>
      <c r="EO92" s="119"/>
      <c r="EP92" s="119"/>
      <c r="EQ92" s="119"/>
      <c r="ER92" s="119"/>
      <c r="ES92" s="119"/>
      <c r="ET92" s="119"/>
      <c r="EU92" s="119"/>
      <c r="EV92" s="119"/>
      <c r="EW92" s="119"/>
      <c r="EX92" s="119"/>
      <c r="EY92" s="119"/>
      <c r="EZ92" s="119"/>
      <c r="FA92" s="119"/>
      <c r="FB92" s="119"/>
      <c r="FC92" s="119"/>
      <c r="FD92" s="119"/>
      <c r="FE92" s="119"/>
      <c r="FF92" s="119"/>
      <c r="FG92" s="119"/>
      <c r="FH92" s="119"/>
      <c r="FI92" s="119"/>
      <c r="FJ92" s="119"/>
      <c r="FK92" s="119"/>
      <c r="FL92" s="119"/>
      <c r="FM92" s="119"/>
      <c r="FN92" s="119"/>
      <c r="FO92" s="119"/>
      <c r="FP92" s="119"/>
      <c r="FQ92" s="119"/>
      <c r="FR92" s="119"/>
      <c r="FS92" s="119"/>
      <c r="FT92" s="119"/>
      <c r="FU92" s="119"/>
      <c r="FV92" s="119"/>
      <c r="FW92" s="119"/>
      <c r="FX92" s="119"/>
      <c r="FY92" s="119"/>
      <c r="FZ92" s="119"/>
      <c r="GA92" s="119"/>
      <c r="GB92" s="119"/>
      <c r="GC92" s="119"/>
      <c r="GD92" s="119"/>
      <c r="GE92" s="119"/>
      <c r="GF92" s="119"/>
      <c r="GG92" s="119"/>
      <c r="GH92" s="119"/>
      <c r="GI92" s="119"/>
      <c r="GJ92" s="119"/>
      <c r="GK92" s="119"/>
      <c r="GL92" s="119"/>
      <c r="GM92" s="119"/>
      <c r="GN92" s="119"/>
      <c r="GO92" s="119"/>
      <c r="GP92" s="119"/>
      <c r="GQ92" s="119"/>
      <c r="GR92" s="119"/>
      <c r="GS92" s="119"/>
      <c r="GT92" s="119"/>
      <c r="GU92" s="119"/>
      <c r="GV92" s="119"/>
      <c r="GW92" s="119"/>
      <c r="GX92" s="119"/>
      <c r="GY92" s="119"/>
      <c r="GZ92" s="119"/>
      <c r="HA92" s="119"/>
      <c r="HB92" s="119"/>
      <c r="HC92" s="119"/>
      <c r="HD92" s="119"/>
      <c r="HE92" s="119"/>
      <c r="HF92" s="119"/>
      <c r="HG92" s="119"/>
      <c r="HH92" s="119"/>
      <c r="HI92" s="119"/>
      <c r="HJ92" s="119"/>
      <c r="HK92" s="119"/>
      <c r="HL92" s="119"/>
      <c r="HM92" s="119"/>
      <c r="HN92" s="119"/>
      <c r="HO92" s="119"/>
      <c r="HP92" s="119"/>
      <c r="HQ92" s="119"/>
      <c r="HR92" s="119"/>
      <c r="HS92" s="119"/>
      <c r="HT92" s="119"/>
      <c r="HU92" s="119"/>
      <c r="HV92" s="119"/>
      <c r="HW92" s="119"/>
      <c r="HX92" s="119"/>
      <c r="HY92" s="119"/>
      <c r="HZ92" s="119"/>
      <c r="IA92" s="119"/>
      <c r="IB92" s="119"/>
      <c r="IC92" s="119"/>
      <c r="ID92" s="119"/>
      <c r="IE92" s="119"/>
      <c r="IF92" s="119"/>
      <c r="IG92" s="119"/>
      <c r="IH92" s="119"/>
      <c r="II92" s="119"/>
      <c r="IJ92" s="119"/>
      <c r="IK92" s="119"/>
      <c r="IL92" s="119"/>
      <c r="IM92" s="119"/>
      <c r="IN92" s="119"/>
      <c r="IO92" s="119"/>
      <c r="IP92" s="119"/>
      <c r="IQ92" s="119"/>
      <c r="IR92" s="119"/>
      <c r="IS92" s="119"/>
      <c r="IT92" s="119"/>
      <c r="IU92" s="119"/>
      <c r="IV92" s="119"/>
      <c r="IW92" s="119"/>
    </row>
    <row r="93" spans="1:257" s="187" customFormat="1" ht="18" customHeight="1" x14ac:dyDescent="0.35">
      <c r="A93" s="195">
        <v>84</v>
      </c>
      <c r="B93" s="192"/>
      <c r="C93" s="120"/>
      <c r="D93" s="1266" t="s">
        <v>808</v>
      </c>
      <c r="E93" s="547"/>
      <c r="F93" s="547"/>
      <c r="G93" s="696"/>
      <c r="H93" s="240"/>
      <c r="I93" s="275"/>
      <c r="J93" s="275"/>
      <c r="K93" s="275"/>
      <c r="L93" s="275"/>
      <c r="M93" s="275"/>
      <c r="N93" s="559">
        <v>64</v>
      </c>
      <c r="O93" s="1795"/>
      <c r="P93" s="1272">
        <f>SUM(I93:N93)</f>
        <v>64</v>
      </c>
      <c r="Q93" s="694"/>
      <c r="R93" s="119"/>
      <c r="S93" s="119"/>
      <c r="T93" s="119"/>
      <c r="U93" s="119"/>
      <c r="V93" s="119"/>
      <c r="W93" s="119"/>
      <c r="X93" s="119"/>
      <c r="Y93" s="119"/>
      <c r="Z93" s="119"/>
      <c r="AA93" s="119"/>
      <c r="AB93" s="119"/>
      <c r="AC93" s="119"/>
      <c r="AD93" s="119"/>
      <c r="AE93" s="119"/>
      <c r="AF93" s="119"/>
      <c r="AG93" s="119"/>
      <c r="AH93" s="119"/>
      <c r="AI93" s="119"/>
      <c r="AJ93" s="119"/>
      <c r="AK93" s="119"/>
      <c r="AL93" s="119"/>
      <c r="AM93" s="119"/>
      <c r="AN93" s="119"/>
      <c r="AO93" s="119"/>
      <c r="AP93" s="119"/>
      <c r="AQ93" s="119"/>
      <c r="AR93" s="119"/>
      <c r="AS93" s="119"/>
      <c r="AT93" s="119"/>
      <c r="AU93" s="119"/>
      <c r="AV93" s="119"/>
      <c r="AW93" s="119"/>
      <c r="AX93" s="119"/>
      <c r="AY93" s="119"/>
      <c r="AZ93" s="119"/>
      <c r="BA93" s="119"/>
      <c r="BB93" s="119"/>
      <c r="BC93" s="119"/>
      <c r="BD93" s="119"/>
      <c r="BE93" s="119"/>
      <c r="BF93" s="119"/>
      <c r="BG93" s="119"/>
      <c r="BH93" s="119"/>
      <c r="BI93" s="119"/>
      <c r="BJ93" s="119"/>
      <c r="BK93" s="119"/>
      <c r="BL93" s="119"/>
      <c r="BM93" s="119"/>
      <c r="BN93" s="119"/>
      <c r="BO93" s="119"/>
      <c r="BP93" s="119"/>
      <c r="BQ93" s="119"/>
      <c r="BR93" s="119"/>
      <c r="BS93" s="119"/>
      <c r="BT93" s="119"/>
      <c r="BU93" s="119"/>
      <c r="BV93" s="119"/>
      <c r="BW93" s="119"/>
      <c r="BX93" s="119"/>
      <c r="BY93" s="119"/>
      <c r="BZ93" s="119"/>
      <c r="CA93" s="119"/>
      <c r="CB93" s="119"/>
      <c r="CC93" s="119"/>
      <c r="CD93" s="119"/>
      <c r="CE93" s="119"/>
      <c r="CF93" s="119"/>
      <c r="CG93" s="119"/>
      <c r="CH93" s="119"/>
      <c r="CI93" s="119"/>
      <c r="CJ93" s="119"/>
      <c r="CK93" s="119"/>
      <c r="CL93" s="119"/>
      <c r="CM93" s="119"/>
      <c r="CN93" s="119"/>
      <c r="CO93" s="119"/>
      <c r="CP93" s="119"/>
      <c r="CQ93" s="119"/>
      <c r="CR93" s="119"/>
      <c r="CS93" s="119"/>
      <c r="CT93" s="119"/>
      <c r="CU93" s="119"/>
      <c r="CV93" s="119"/>
      <c r="CW93" s="119"/>
      <c r="CX93" s="119"/>
      <c r="CY93" s="119"/>
      <c r="CZ93" s="119"/>
      <c r="DA93" s="119"/>
      <c r="DB93" s="119"/>
      <c r="DC93" s="119"/>
      <c r="DD93" s="119"/>
      <c r="DE93" s="119"/>
      <c r="DF93" s="119"/>
      <c r="DG93" s="119"/>
      <c r="DH93" s="119"/>
      <c r="DI93" s="119"/>
      <c r="DJ93" s="119"/>
      <c r="DK93" s="119"/>
      <c r="DL93" s="119"/>
      <c r="DM93" s="119"/>
      <c r="DN93" s="119"/>
      <c r="DO93" s="119"/>
      <c r="DP93" s="119"/>
      <c r="DQ93" s="119"/>
      <c r="DR93" s="119"/>
      <c r="DS93" s="119"/>
      <c r="DT93" s="119"/>
      <c r="DU93" s="119"/>
      <c r="DV93" s="119"/>
      <c r="DW93" s="119"/>
      <c r="DX93" s="119"/>
      <c r="DY93" s="119"/>
      <c r="DZ93" s="119"/>
      <c r="EA93" s="119"/>
      <c r="EB93" s="119"/>
      <c r="EC93" s="119"/>
      <c r="ED93" s="119"/>
      <c r="EE93" s="119"/>
      <c r="EF93" s="119"/>
      <c r="EG93" s="119"/>
      <c r="EH93" s="119"/>
      <c r="EI93" s="119"/>
      <c r="EJ93" s="119"/>
      <c r="EK93" s="119"/>
      <c r="EL93" s="119"/>
      <c r="EM93" s="119"/>
      <c r="EN93" s="119"/>
      <c r="EO93" s="119"/>
      <c r="EP93" s="119"/>
      <c r="EQ93" s="119"/>
      <c r="ER93" s="119"/>
      <c r="ES93" s="119"/>
      <c r="ET93" s="119"/>
      <c r="EU93" s="119"/>
      <c r="EV93" s="119"/>
      <c r="EW93" s="119"/>
      <c r="EX93" s="119"/>
      <c r="EY93" s="119"/>
      <c r="EZ93" s="119"/>
      <c r="FA93" s="119"/>
      <c r="FB93" s="119"/>
      <c r="FC93" s="119"/>
      <c r="FD93" s="119"/>
      <c r="FE93" s="119"/>
      <c r="FF93" s="119"/>
      <c r="FG93" s="119"/>
      <c r="FH93" s="119"/>
      <c r="FI93" s="119"/>
      <c r="FJ93" s="119"/>
      <c r="FK93" s="119"/>
      <c r="FL93" s="119"/>
      <c r="FM93" s="119"/>
      <c r="FN93" s="119"/>
      <c r="FO93" s="119"/>
      <c r="FP93" s="119"/>
      <c r="FQ93" s="119"/>
      <c r="FR93" s="119"/>
      <c r="FS93" s="119"/>
      <c r="FT93" s="119"/>
      <c r="FU93" s="119"/>
      <c r="FV93" s="119"/>
      <c r="FW93" s="119"/>
      <c r="FX93" s="119"/>
      <c r="FY93" s="119"/>
      <c r="FZ93" s="119"/>
      <c r="GA93" s="119"/>
      <c r="GB93" s="119"/>
      <c r="GC93" s="119"/>
      <c r="GD93" s="119"/>
      <c r="GE93" s="119"/>
      <c r="GF93" s="119"/>
      <c r="GG93" s="119"/>
      <c r="GH93" s="119"/>
      <c r="GI93" s="119"/>
      <c r="GJ93" s="119"/>
      <c r="GK93" s="119"/>
      <c r="GL93" s="119"/>
      <c r="GM93" s="119"/>
      <c r="GN93" s="119"/>
      <c r="GO93" s="119"/>
      <c r="GP93" s="119"/>
      <c r="GQ93" s="119"/>
      <c r="GR93" s="119"/>
      <c r="GS93" s="119"/>
      <c r="GT93" s="119"/>
      <c r="GU93" s="119"/>
      <c r="GV93" s="119"/>
      <c r="GW93" s="119"/>
      <c r="GX93" s="119"/>
      <c r="GY93" s="119"/>
      <c r="GZ93" s="119"/>
      <c r="HA93" s="119"/>
      <c r="HB93" s="119"/>
      <c r="HC93" s="119"/>
      <c r="HD93" s="119"/>
      <c r="HE93" s="119"/>
      <c r="HF93" s="119"/>
      <c r="HG93" s="119"/>
      <c r="HH93" s="119"/>
      <c r="HI93" s="119"/>
      <c r="HJ93" s="119"/>
      <c r="HK93" s="119"/>
      <c r="HL93" s="119"/>
      <c r="HM93" s="119"/>
      <c r="HN93" s="119"/>
      <c r="HO93" s="119"/>
      <c r="HP93" s="119"/>
      <c r="HQ93" s="119"/>
      <c r="HR93" s="119"/>
      <c r="HS93" s="119"/>
      <c r="HT93" s="119"/>
      <c r="HU93" s="119"/>
      <c r="HV93" s="119"/>
      <c r="HW93" s="119"/>
      <c r="HX93" s="119"/>
      <c r="HY93" s="119"/>
      <c r="HZ93" s="119"/>
      <c r="IA93" s="119"/>
      <c r="IB93" s="119"/>
      <c r="IC93" s="119"/>
      <c r="ID93" s="119"/>
      <c r="IE93" s="119"/>
      <c r="IF93" s="119"/>
      <c r="IG93" s="119"/>
      <c r="IH93" s="119"/>
      <c r="II93" s="119"/>
      <c r="IJ93" s="119"/>
      <c r="IK93" s="119"/>
      <c r="IL93" s="119"/>
      <c r="IM93" s="119"/>
      <c r="IN93" s="119"/>
      <c r="IO93" s="119"/>
      <c r="IP93" s="119"/>
      <c r="IQ93" s="119"/>
      <c r="IR93" s="119"/>
      <c r="IS93" s="119"/>
      <c r="IT93" s="119"/>
      <c r="IU93" s="119"/>
      <c r="IV93" s="119"/>
      <c r="IW93" s="119"/>
    </row>
    <row r="94" spans="1:257" s="187" customFormat="1" ht="18" customHeight="1" x14ac:dyDescent="0.35">
      <c r="A94" s="195">
        <v>85</v>
      </c>
      <c r="B94" s="192"/>
      <c r="C94" s="120"/>
      <c r="D94" s="1265" t="s">
        <v>656</v>
      </c>
      <c r="E94" s="547"/>
      <c r="F94" s="547"/>
      <c r="G94" s="696"/>
      <c r="H94" s="240"/>
      <c r="I94" s="1282"/>
      <c r="J94" s="1282"/>
      <c r="K94" s="1282"/>
      <c r="L94" s="1282"/>
      <c r="M94" s="1282"/>
      <c r="N94" s="1282"/>
      <c r="O94" s="1792"/>
      <c r="P94" s="1274">
        <f t="shared" ref="P94:P95" si="24">SUM(I94:N94)</f>
        <v>0</v>
      </c>
      <c r="Q94" s="694"/>
      <c r="R94" s="119"/>
      <c r="S94" s="119"/>
      <c r="T94" s="119"/>
      <c r="U94" s="119"/>
      <c r="V94" s="119"/>
      <c r="W94" s="119"/>
      <c r="X94" s="119"/>
      <c r="Y94" s="119"/>
      <c r="Z94" s="119"/>
      <c r="AA94" s="119"/>
      <c r="AB94" s="119"/>
      <c r="AC94" s="119"/>
      <c r="AD94" s="119"/>
      <c r="AE94" s="119"/>
      <c r="AF94" s="119"/>
      <c r="AG94" s="119"/>
      <c r="AH94" s="119"/>
      <c r="AI94" s="119"/>
      <c r="AJ94" s="119"/>
      <c r="AK94" s="119"/>
      <c r="AL94" s="119"/>
      <c r="AM94" s="119"/>
      <c r="AN94" s="119"/>
      <c r="AO94" s="119"/>
      <c r="AP94" s="119"/>
      <c r="AQ94" s="119"/>
      <c r="AR94" s="119"/>
      <c r="AS94" s="119"/>
      <c r="AT94" s="119"/>
      <c r="AU94" s="119"/>
      <c r="AV94" s="119"/>
      <c r="AW94" s="119"/>
      <c r="AX94" s="119"/>
      <c r="AY94" s="119"/>
      <c r="AZ94" s="119"/>
      <c r="BA94" s="119"/>
      <c r="BB94" s="119"/>
      <c r="BC94" s="119"/>
      <c r="BD94" s="119"/>
      <c r="BE94" s="119"/>
      <c r="BF94" s="119"/>
      <c r="BG94" s="119"/>
      <c r="BH94" s="119"/>
      <c r="BI94" s="119"/>
      <c r="BJ94" s="119"/>
      <c r="BK94" s="119"/>
      <c r="BL94" s="119"/>
      <c r="BM94" s="119"/>
      <c r="BN94" s="119"/>
      <c r="BO94" s="119"/>
      <c r="BP94" s="119"/>
      <c r="BQ94" s="119"/>
      <c r="BR94" s="119"/>
      <c r="BS94" s="119"/>
      <c r="BT94" s="119"/>
      <c r="BU94" s="119"/>
      <c r="BV94" s="119"/>
      <c r="BW94" s="119"/>
      <c r="BX94" s="119"/>
      <c r="BY94" s="119"/>
      <c r="BZ94" s="119"/>
      <c r="CA94" s="119"/>
      <c r="CB94" s="119"/>
      <c r="CC94" s="119"/>
      <c r="CD94" s="119"/>
      <c r="CE94" s="119"/>
      <c r="CF94" s="119"/>
      <c r="CG94" s="119"/>
      <c r="CH94" s="119"/>
      <c r="CI94" s="119"/>
      <c r="CJ94" s="119"/>
      <c r="CK94" s="119"/>
      <c r="CL94" s="119"/>
      <c r="CM94" s="119"/>
      <c r="CN94" s="119"/>
      <c r="CO94" s="119"/>
      <c r="CP94" s="119"/>
      <c r="CQ94" s="119"/>
      <c r="CR94" s="119"/>
      <c r="CS94" s="119"/>
      <c r="CT94" s="119"/>
      <c r="CU94" s="119"/>
      <c r="CV94" s="119"/>
      <c r="CW94" s="119"/>
      <c r="CX94" s="119"/>
      <c r="CY94" s="119"/>
      <c r="CZ94" s="119"/>
      <c r="DA94" s="119"/>
      <c r="DB94" s="119"/>
      <c r="DC94" s="119"/>
      <c r="DD94" s="119"/>
      <c r="DE94" s="119"/>
      <c r="DF94" s="119"/>
      <c r="DG94" s="119"/>
      <c r="DH94" s="119"/>
      <c r="DI94" s="119"/>
      <c r="DJ94" s="119"/>
      <c r="DK94" s="119"/>
      <c r="DL94" s="119"/>
      <c r="DM94" s="119"/>
      <c r="DN94" s="119"/>
      <c r="DO94" s="119"/>
      <c r="DP94" s="119"/>
      <c r="DQ94" s="119"/>
      <c r="DR94" s="119"/>
      <c r="DS94" s="119"/>
      <c r="DT94" s="119"/>
      <c r="DU94" s="119"/>
      <c r="DV94" s="119"/>
      <c r="DW94" s="119"/>
      <c r="DX94" s="119"/>
      <c r="DY94" s="119"/>
      <c r="DZ94" s="119"/>
      <c r="EA94" s="119"/>
      <c r="EB94" s="119"/>
      <c r="EC94" s="119"/>
      <c r="ED94" s="119"/>
      <c r="EE94" s="119"/>
      <c r="EF94" s="119"/>
      <c r="EG94" s="119"/>
      <c r="EH94" s="119"/>
      <c r="EI94" s="119"/>
      <c r="EJ94" s="119"/>
      <c r="EK94" s="119"/>
      <c r="EL94" s="119"/>
      <c r="EM94" s="119"/>
      <c r="EN94" s="119"/>
      <c r="EO94" s="119"/>
      <c r="EP94" s="119"/>
      <c r="EQ94" s="119"/>
      <c r="ER94" s="119"/>
      <c r="ES94" s="119"/>
      <c r="ET94" s="119"/>
      <c r="EU94" s="119"/>
      <c r="EV94" s="119"/>
      <c r="EW94" s="119"/>
      <c r="EX94" s="119"/>
      <c r="EY94" s="119"/>
      <c r="EZ94" s="119"/>
      <c r="FA94" s="119"/>
      <c r="FB94" s="119"/>
      <c r="FC94" s="119"/>
      <c r="FD94" s="119"/>
      <c r="FE94" s="119"/>
      <c r="FF94" s="119"/>
      <c r="FG94" s="119"/>
      <c r="FH94" s="119"/>
      <c r="FI94" s="119"/>
      <c r="FJ94" s="119"/>
      <c r="FK94" s="119"/>
      <c r="FL94" s="119"/>
      <c r="FM94" s="119"/>
      <c r="FN94" s="119"/>
      <c r="FO94" s="119"/>
      <c r="FP94" s="119"/>
      <c r="FQ94" s="119"/>
      <c r="FR94" s="119"/>
      <c r="FS94" s="119"/>
      <c r="FT94" s="119"/>
      <c r="FU94" s="119"/>
      <c r="FV94" s="119"/>
      <c r="FW94" s="119"/>
      <c r="FX94" s="119"/>
      <c r="FY94" s="119"/>
      <c r="FZ94" s="119"/>
      <c r="GA94" s="119"/>
      <c r="GB94" s="119"/>
      <c r="GC94" s="119"/>
      <c r="GD94" s="119"/>
      <c r="GE94" s="119"/>
      <c r="GF94" s="119"/>
      <c r="GG94" s="119"/>
      <c r="GH94" s="119"/>
      <c r="GI94" s="119"/>
      <c r="GJ94" s="119"/>
      <c r="GK94" s="119"/>
      <c r="GL94" s="119"/>
      <c r="GM94" s="119"/>
      <c r="GN94" s="119"/>
      <c r="GO94" s="119"/>
      <c r="GP94" s="119"/>
      <c r="GQ94" s="119"/>
      <c r="GR94" s="119"/>
      <c r="GS94" s="119"/>
      <c r="GT94" s="119"/>
      <c r="GU94" s="119"/>
      <c r="GV94" s="119"/>
      <c r="GW94" s="119"/>
      <c r="GX94" s="119"/>
      <c r="GY94" s="119"/>
      <c r="GZ94" s="119"/>
      <c r="HA94" s="119"/>
      <c r="HB94" s="119"/>
      <c r="HC94" s="119"/>
      <c r="HD94" s="119"/>
      <c r="HE94" s="119"/>
      <c r="HF94" s="119"/>
      <c r="HG94" s="119"/>
      <c r="HH94" s="119"/>
      <c r="HI94" s="119"/>
      <c r="HJ94" s="119"/>
      <c r="HK94" s="119"/>
      <c r="HL94" s="119"/>
      <c r="HM94" s="119"/>
      <c r="HN94" s="119"/>
      <c r="HO94" s="119"/>
      <c r="HP94" s="119"/>
      <c r="HQ94" s="119"/>
      <c r="HR94" s="119"/>
      <c r="HS94" s="119"/>
      <c r="HT94" s="119"/>
      <c r="HU94" s="119"/>
      <c r="HV94" s="119"/>
      <c r="HW94" s="119"/>
      <c r="HX94" s="119"/>
      <c r="HY94" s="119"/>
      <c r="HZ94" s="119"/>
      <c r="IA94" s="119"/>
      <c r="IB94" s="119"/>
      <c r="IC94" s="119"/>
      <c r="ID94" s="119"/>
      <c r="IE94" s="119"/>
      <c r="IF94" s="119"/>
      <c r="IG94" s="119"/>
      <c r="IH94" s="119"/>
      <c r="II94" s="119"/>
      <c r="IJ94" s="119"/>
      <c r="IK94" s="119"/>
      <c r="IL94" s="119"/>
      <c r="IM94" s="119"/>
      <c r="IN94" s="119"/>
      <c r="IO94" s="119"/>
      <c r="IP94" s="119"/>
      <c r="IQ94" s="119"/>
      <c r="IR94" s="119"/>
      <c r="IS94" s="119"/>
      <c r="IT94" s="119"/>
      <c r="IU94" s="119"/>
      <c r="IV94" s="119"/>
      <c r="IW94" s="119"/>
    </row>
    <row r="95" spans="1:257" s="187" customFormat="1" ht="18" customHeight="1" x14ac:dyDescent="0.35">
      <c r="A95" s="195">
        <v>86</v>
      </c>
      <c r="B95" s="192"/>
      <c r="C95" s="120"/>
      <c r="D95" s="1266" t="s">
        <v>862</v>
      </c>
      <c r="E95" s="547"/>
      <c r="F95" s="547"/>
      <c r="G95" s="696"/>
      <c r="H95" s="240"/>
      <c r="I95" s="559"/>
      <c r="J95" s="559"/>
      <c r="K95" s="559"/>
      <c r="L95" s="559"/>
      <c r="M95" s="559"/>
      <c r="N95" s="559">
        <f>SUM(N93:N94)</f>
        <v>64</v>
      </c>
      <c r="O95" s="1795"/>
      <c r="P95" s="1272">
        <f t="shared" si="24"/>
        <v>64</v>
      </c>
      <c r="Q95" s="694"/>
      <c r="R95" s="119"/>
      <c r="S95" s="119"/>
      <c r="T95" s="119"/>
      <c r="U95" s="119"/>
      <c r="V95" s="119"/>
      <c r="W95" s="119"/>
      <c r="X95" s="119"/>
      <c r="Y95" s="119"/>
      <c r="Z95" s="119"/>
      <c r="AA95" s="119"/>
      <c r="AB95" s="119"/>
      <c r="AC95" s="119"/>
      <c r="AD95" s="119"/>
      <c r="AE95" s="119"/>
      <c r="AF95" s="119"/>
      <c r="AG95" s="119"/>
      <c r="AH95" s="119"/>
      <c r="AI95" s="119"/>
      <c r="AJ95" s="119"/>
      <c r="AK95" s="119"/>
      <c r="AL95" s="119"/>
      <c r="AM95" s="119"/>
      <c r="AN95" s="119"/>
      <c r="AO95" s="119"/>
      <c r="AP95" s="119"/>
      <c r="AQ95" s="119"/>
      <c r="AR95" s="119"/>
      <c r="AS95" s="119"/>
      <c r="AT95" s="119"/>
      <c r="AU95" s="119"/>
      <c r="AV95" s="119"/>
      <c r="AW95" s="119"/>
      <c r="AX95" s="119"/>
      <c r="AY95" s="119"/>
      <c r="AZ95" s="119"/>
      <c r="BA95" s="119"/>
      <c r="BB95" s="119"/>
      <c r="BC95" s="119"/>
      <c r="BD95" s="119"/>
      <c r="BE95" s="119"/>
      <c r="BF95" s="119"/>
      <c r="BG95" s="119"/>
      <c r="BH95" s="119"/>
      <c r="BI95" s="119"/>
      <c r="BJ95" s="119"/>
      <c r="BK95" s="119"/>
      <c r="BL95" s="119"/>
      <c r="BM95" s="119"/>
      <c r="BN95" s="119"/>
      <c r="BO95" s="119"/>
      <c r="BP95" s="119"/>
      <c r="BQ95" s="119"/>
      <c r="BR95" s="119"/>
      <c r="BS95" s="119"/>
      <c r="BT95" s="119"/>
      <c r="BU95" s="119"/>
      <c r="BV95" s="119"/>
      <c r="BW95" s="119"/>
      <c r="BX95" s="119"/>
      <c r="BY95" s="119"/>
      <c r="BZ95" s="119"/>
      <c r="CA95" s="119"/>
      <c r="CB95" s="119"/>
      <c r="CC95" s="119"/>
      <c r="CD95" s="119"/>
      <c r="CE95" s="119"/>
      <c r="CF95" s="119"/>
      <c r="CG95" s="119"/>
      <c r="CH95" s="119"/>
      <c r="CI95" s="119"/>
      <c r="CJ95" s="119"/>
      <c r="CK95" s="119"/>
      <c r="CL95" s="119"/>
      <c r="CM95" s="119"/>
      <c r="CN95" s="119"/>
      <c r="CO95" s="119"/>
      <c r="CP95" s="119"/>
      <c r="CQ95" s="119"/>
      <c r="CR95" s="119"/>
      <c r="CS95" s="119"/>
      <c r="CT95" s="119"/>
      <c r="CU95" s="119"/>
      <c r="CV95" s="119"/>
      <c r="CW95" s="119"/>
      <c r="CX95" s="119"/>
      <c r="CY95" s="119"/>
      <c r="CZ95" s="119"/>
      <c r="DA95" s="119"/>
      <c r="DB95" s="119"/>
      <c r="DC95" s="119"/>
      <c r="DD95" s="119"/>
      <c r="DE95" s="119"/>
      <c r="DF95" s="119"/>
      <c r="DG95" s="119"/>
      <c r="DH95" s="119"/>
      <c r="DI95" s="119"/>
      <c r="DJ95" s="119"/>
      <c r="DK95" s="119"/>
      <c r="DL95" s="119"/>
      <c r="DM95" s="119"/>
      <c r="DN95" s="119"/>
      <c r="DO95" s="119"/>
      <c r="DP95" s="119"/>
      <c r="DQ95" s="119"/>
      <c r="DR95" s="119"/>
      <c r="DS95" s="119"/>
      <c r="DT95" s="119"/>
      <c r="DU95" s="119"/>
      <c r="DV95" s="119"/>
      <c r="DW95" s="119"/>
      <c r="DX95" s="119"/>
      <c r="DY95" s="119"/>
      <c r="DZ95" s="119"/>
      <c r="EA95" s="119"/>
      <c r="EB95" s="119"/>
      <c r="EC95" s="119"/>
      <c r="ED95" s="119"/>
      <c r="EE95" s="119"/>
      <c r="EF95" s="119"/>
      <c r="EG95" s="119"/>
      <c r="EH95" s="119"/>
      <c r="EI95" s="119"/>
      <c r="EJ95" s="119"/>
      <c r="EK95" s="119"/>
      <c r="EL95" s="119"/>
      <c r="EM95" s="119"/>
      <c r="EN95" s="119"/>
      <c r="EO95" s="119"/>
      <c r="EP95" s="119"/>
      <c r="EQ95" s="119"/>
      <c r="ER95" s="119"/>
      <c r="ES95" s="119"/>
      <c r="ET95" s="119"/>
      <c r="EU95" s="119"/>
      <c r="EV95" s="119"/>
      <c r="EW95" s="119"/>
      <c r="EX95" s="119"/>
      <c r="EY95" s="119"/>
      <c r="EZ95" s="119"/>
      <c r="FA95" s="119"/>
      <c r="FB95" s="119"/>
      <c r="FC95" s="119"/>
      <c r="FD95" s="119"/>
      <c r="FE95" s="119"/>
      <c r="FF95" s="119"/>
      <c r="FG95" s="119"/>
      <c r="FH95" s="119"/>
      <c r="FI95" s="119"/>
      <c r="FJ95" s="119"/>
      <c r="FK95" s="119"/>
      <c r="FL95" s="119"/>
      <c r="FM95" s="119"/>
      <c r="FN95" s="119"/>
      <c r="FO95" s="119"/>
      <c r="FP95" s="119"/>
      <c r="FQ95" s="119"/>
      <c r="FR95" s="119"/>
      <c r="FS95" s="119"/>
      <c r="FT95" s="119"/>
      <c r="FU95" s="119"/>
      <c r="FV95" s="119"/>
      <c r="FW95" s="119"/>
      <c r="FX95" s="119"/>
      <c r="FY95" s="119"/>
      <c r="FZ95" s="119"/>
      <c r="GA95" s="119"/>
      <c r="GB95" s="119"/>
      <c r="GC95" s="119"/>
      <c r="GD95" s="119"/>
      <c r="GE95" s="119"/>
      <c r="GF95" s="119"/>
      <c r="GG95" s="119"/>
      <c r="GH95" s="119"/>
      <c r="GI95" s="119"/>
      <c r="GJ95" s="119"/>
      <c r="GK95" s="119"/>
      <c r="GL95" s="119"/>
      <c r="GM95" s="119"/>
      <c r="GN95" s="119"/>
      <c r="GO95" s="119"/>
      <c r="GP95" s="119"/>
      <c r="GQ95" s="119"/>
      <c r="GR95" s="119"/>
      <c r="GS95" s="119"/>
      <c r="GT95" s="119"/>
      <c r="GU95" s="119"/>
      <c r="GV95" s="119"/>
      <c r="GW95" s="119"/>
      <c r="GX95" s="119"/>
      <c r="GY95" s="119"/>
      <c r="GZ95" s="119"/>
      <c r="HA95" s="119"/>
      <c r="HB95" s="119"/>
      <c r="HC95" s="119"/>
      <c r="HD95" s="119"/>
      <c r="HE95" s="119"/>
      <c r="HF95" s="119"/>
      <c r="HG95" s="119"/>
      <c r="HH95" s="119"/>
      <c r="HI95" s="119"/>
      <c r="HJ95" s="119"/>
      <c r="HK95" s="119"/>
      <c r="HL95" s="119"/>
      <c r="HM95" s="119"/>
      <c r="HN95" s="119"/>
      <c r="HO95" s="119"/>
      <c r="HP95" s="119"/>
      <c r="HQ95" s="119"/>
      <c r="HR95" s="119"/>
      <c r="HS95" s="119"/>
      <c r="HT95" s="119"/>
      <c r="HU95" s="119"/>
      <c r="HV95" s="119"/>
      <c r="HW95" s="119"/>
      <c r="HX95" s="119"/>
      <c r="HY95" s="119"/>
      <c r="HZ95" s="119"/>
      <c r="IA95" s="119"/>
      <c r="IB95" s="119"/>
      <c r="IC95" s="119"/>
      <c r="ID95" s="119"/>
      <c r="IE95" s="119"/>
      <c r="IF95" s="119"/>
      <c r="IG95" s="119"/>
      <c r="IH95" s="119"/>
      <c r="II95" s="119"/>
      <c r="IJ95" s="119"/>
      <c r="IK95" s="119"/>
      <c r="IL95" s="119"/>
      <c r="IM95" s="119"/>
      <c r="IN95" s="119"/>
      <c r="IO95" s="119"/>
      <c r="IP95" s="119"/>
      <c r="IQ95" s="119"/>
      <c r="IR95" s="119"/>
      <c r="IS95" s="119"/>
      <c r="IT95" s="119"/>
      <c r="IU95" s="119"/>
      <c r="IV95" s="119"/>
      <c r="IW95" s="119"/>
    </row>
    <row r="96" spans="1:257" s="187" customFormat="1" ht="22.5" customHeight="1" x14ac:dyDescent="0.35">
      <c r="A96" s="195">
        <v>87</v>
      </c>
      <c r="B96" s="192"/>
      <c r="C96" s="133">
        <v>34</v>
      </c>
      <c r="D96" s="121" t="s">
        <v>618</v>
      </c>
      <c r="E96" s="547">
        <f>F96+G96+P100+Q97</f>
        <v>27550</v>
      </c>
      <c r="F96" s="547"/>
      <c r="G96" s="696">
        <v>17467</v>
      </c>
      <c r="H96" s="240" t="s">
        <v>24</v>
      </c>
      <c r="I96" s="275"/>
      <c r="J96" s="275"/>
      <c r="K96" s="275"/>
      <c r="L96" s="275"/>
      <c r="M96" s="275"/>
      <c r="N96" s="275"/>
      <c r="O96" s="1794"/>
      <c r="P96" s="217"/>
      <c r="Q96" s="694"/>
      <c r="R96" s="119"/>
      <c r="S96" s="119"/>
      <c r="T96" s="119"/>
      <c r="U96" s="119"/>
      <c r="V96" s="119"/>
      <c r="W96" s="119"/>
      <c r="X96" s="119"/>
      <c r="Y96" s="119"/>
      <c r="Z96" s="119"/>
      <c r="AA96" s="119"/>
      <c r="AB96" s="119"/>
      <c r="AC96" s="119"/>
      <c r="AD96" s="119"/>
      <c r="AE96" s="119"/>
      <c r="AF96" s="119"/>
      <c r="AG96" s="119"/>
      <c r="AH96" s="119"/>
      <c r="AI96" s="119"/>
      <c r="AJ96" s="119"/>
      <c r="AK96" s="119"/>
      <c r="AL96" s="119"/>
      <c r="AM96" s="119"/>
      <c r="AN96" s="119"/>
      <c r="AO96" s="119"/>
      <c r="AP96" s="119"/>
      <c r="AQ96" s="119"/>
      <c r="AR96" s="119"/>
      <c r="AS96" s="119"/>
      <c r="AT96" s="119"/>
      <c r="AU96" s="119"/>
      <c r="AV96" s="119"/>
      <c r="AW96" s="119"/>
      <c r="AX96" s="119"/>
      <c r="AY96" s="119"/>
      <c r="AZ96" s="119"/>
      <c r="BA96" s="119"/>
      <c r="BB96" s="119"/>
      <c r="BC96" s="119"/>
      <c r="BD96" s="119"/>
      <c r="BE96" s="119"/>
      <c r="BF96" s="119"/>
      <c r="BG96" s="119"/>
      <c r="BH96" s="119"/>
      <c r="BI96" s="119"/>
      <c r="BJ96" s="119"/>
      <c r="BK96" s="119"/>
      <c r="BL96" s="119"/>
      <c r="BM96" s="119"/>
      <c r="BN96" s="119"/>
      <c r="BO96" s="119"/>
      <c r="BP96" s="119"/>
      <c r="BQ96" s="119"/>
      <c r="BR96" s="119"/>
      <c r="BS96" s="119"/>
      <c r="BT96" s="119"/>
      <c r="BU96" s="119"/>
      <c r="BV96" s="119"/>
      <c r="BW96" s="119"/>
      <c r="BX96" s="119"/>
      <c r="BY96" s="119"/>
      <c r="BZ96" s="119"/>
      <c r="CA96" s="119"/>
      <c r="CB96" s="119"/>
      <c r="CC96" s="119"/>
      <c r="CD96" s="119"/>
      <c r="CE96" s="119"/>
      <c r="CF96" s="119"/>
      <c r="CG96" s="119"/>
      <c r="CH96" s="119"/>
      <c r="CI96" s="119"/>
      <c r="CJ96" s="119"/>
      <c r="CK96" s="119"/>
      <c r="CL96" s="119"/>
      <c r="CM96" s="119"/>
      <c r="CN96" s="119"/>
      <c r="CO96" s="119"/>
      <c r="CP96" s="119"/>
      <c r="CQ96" s="119"/>
      <c r="CR96" s="119"/>
      <c r="CS96" s="119"/>
      <c r="CT96" s="119"/>
      <c r="CU96" s="119"/>
      <c r="CV96" s="119"/>
      <c r="CW96" s="119"/>
      <c r="CX96" s="119"/>
      <c r="CY96" s="119"/>
      <c r="CZ96" s="119"/>
      <c r="DA96" s="119"/>
      <c r="DB96" s="119"/>
      <c r="DC96" s="119"/>
      <c r="DD96" s="119"/>
      <c r="DE96" s="119"/>
      <c r="DF96" s="119"/>
      <c r="DG96" s="119"/>
      <c r="DH96" s="119"/>
      <c r="DI96" s="119"/>
      <c r="DJ96" s="119"/>
      <c r="DK96" s="119"/>
      <c r="DL96" s="119"/>
      <c r="DM96" s="119"/>
      <c r="DN96" s="119"/>
      <c r="DO96" s="119"/>
      <c r="DP96" s="119"/>
      <c r="DQ96" s="119"/>
      <c r="DR96" s="119"/>
      <c r="DS96" s="119"/>
      <c r="DT96" s="119"/>
      <c r="DU96" s="119"/>
      <c r="DV96" s="119"/>
      <c r="DW96" s="119"/>
      <c r="DX96" s="119"/>
      <c r="DY96" s="119"/>
      <c r="DZ96" s="119"/>
      <c r="EA96" s="119"/>
      <c r="EB96" s="119"/>
      <c r="EC96" s="119"/>
      <c r="ED96" s="119"/>
      <c r="EE96" s="119"/>
      <c r="EF96" s="119"/>
      <c r="EG96" s="119"/>
      <c r="EH96" s="119"/>
      <c r="EI96" s="119"/>
      <c r="EJ96" s="119"/>
      <c r="EK96" s="119"/>
      <c r="EL96" s="119"/>
      <c r="EM96" s="119"/>
      <c r="EN96" s="119"/>
      <c r="EO96" s="119"/>
      <c r="EP96" s="119"/>
      <c r="EQ96" s="119"/>
      <c r="ER96" s="119"/>
      <c r="ES96" s="119"/>
      <c r="ET96" s="119"/>
      <c r="EU96" s="119"/>
      <c r="EV96" s="119"/>
      <c r="EW96" s="119"/>
      <c r="EX96" s="119"/>
      <c r="EY96" s="119"/>
      <c r="EZ96" s="119"/>
      <c r="FA96" s="119"/>
      <c r="FB96" s="119"/>
      <c r="FC96" s="119"/>
      <c r="FD96" s="119"/>
      <c r="FE96" s="119"/>
      <c r="FF96" s="119"/>
      <c r="FG96" s="119"/>
      <c r="FH96" s="119"/>
      <c r="FI96" s="119"/>
      <c r="FJ96" s="119"/>
      <c r="FK96" s="119"/>
      <c r="FL96" s="119"/>
      <c r="FM96" s="119"/>
      <c r="FN96" s="119"/>
      <c r="FO96" s="119"/>
      <c r="FP96" s="119"/>
      <c r="FQ96" s="119"/>
      <c r="FR96" s="119"/>
      <c r="FS96" s="119"/>
      <c r="FT96" s="119"/>
      <c r="FU96" s="119"/>
      <c r="FV96" s="119"/>
      <c r="FW96" s="119"/>
      <c r="FX96" s="119"/>
      <c r="FY96" s="119"/>
      <c r="FZ96" s="119"/>
      <c r="GA96" s="119"/>
      <c r="GB96" s="119"/>
      <c r="GC96" s="119"/>
      <c r="GD96" s="119"/>
      <c r="GE96" s="119"/>
      <c r="GF96" s="119"/>
      <c r="GG96" s="119"/>
      <c r="GH96" s="119"/>
      <c r="GI96" s="119"/>
      <c r="GJ96" s="119"/>
      <c r="GK96" s="119"/>
      <c r="GL96" s="119"/>
      <c r="GM96" s="119"/>
      <c r="GN96" s="119"/>
      <c r="GO96" s="119"/>
      <c r="GP96" s="119"/>
      <c r="GQ96" s="119"/>
      <c r="GR96" s="119"/>
      <c r="GS96" s="119"/>
      <c r="GT96" s="119"/>
      <c r="GU96" s="119"/>
      <c r="GV96" s="119"/>
      <c r="GW96" s="119"/>
      <c r="GX96" s="119"/>
      <c r="GY96" s="119"/>
      <c r="GZ96" s="119"/>
      <c r="HA96" s="119"/>
      <c r="HB96" s="119"/>
      <c r="HC96" s="119"/>
      <c r="HD96" s="119"/>
      <c r="HE96" s="119"/>
      <c r="HF96" s="119"/>
      <c r="HG96" s="119"/>
      <c r="HH96" s="119"/>
      <c r="HI96" s="119"/>
      <c r="HJ96" s="119"/>
      <c r="HK96" s="119"/>
      <c r="HL96" s="119"/>
      <c r="HM96" s="119"/>
      <c r="HN96" s="119"/>
      <c r="HO96" s="119"/>
      <c r="HP96" s="119"/>
      <c r="HQ96" s="119"/>
      <c r="HR96" s="119"/>
      <c r="HS96" s="119"/>
      <c r="HT96" s="119"/>
      <c r="HU96" s="119"/>
      <c r="HV96" s="119"/>
      <c r="HW96" s="119"/>
      <c r="HX96" s="119"/>
      <c r="HY96" s="119"/>
      <c r="HZ96" s="119"/>
      <c r="IA96" s="119"/>
      <c r="IB96" s="119"/>
      <c r="IC96" s="119"/>
      <c r="ID96" s="119"/>
      <c r="IE96" s="119"/>
      <c r="IF96" s="119"/>
      <c r="IG96" s="119"/>
      <c r="IH96" s="119"/>
      <c r="II96" s="119"/>
      <c r="IJ96" s="119"/>
      <c r="IK96" s="119"/>
      <c r="IL96" s="119"/>
      <c r="IM96" s="119"/>
      <c r="IN96" s="119"/>
      <c r="IO96" s="119"/>
      <c r="IP96" s="119"/>
      <c r="IQ96" s="119"/>
      <c r="IR96" s="119"/>
      <c r="IS96" s="119"/>
      <c r="IT96" s="119"/>
      <c r="IU96" s="119"/>
      <c r="IV96" s="119"/>
      <c r="IW96" s="119"/>
    </row>
    <row r="97" spans="1:257" s="187" customFormat="1" ht="18" customHeight="1" x14ac:dyDescent="0.35">
      <c r="A97" s="195">
        <v>88</v>
      </c>
      <c r="B97" s="192"/>
      <c r="C97" s="120"/>
      <c r="D97" s="221" t="s">
        <v>245</v>
      </c>
      <c r="E97" s="547"/>
      <c r="F97" s="547"/>
      <c r="G97" s="696"/>
      <c r="H97" s="240"/>
      <c r="I97" s="275"/>
      <c r="J97" s="275"/>
      <c r="K97" s="275">
        <v>10083</v>
      </c>
      <c r="L97" s="275"/>
      <c r="M97" s="275"/>
      <c r="N97" s="275"/>
      <c r="O97" s="1794"/>
      <c r="P97" s="217">
        <f>SUM(I97:N97)</f>
        <v>10083</v>
      </c>
      <c r="Q97" s="694"/>
      <c r="R97" s="119"/>
      <c r="S97" s="119"/>
      <c r="T97" s="119"/>
      <c r="U97" s="119"/>
      <c r="V97" s="119"/>
      <c r="W97" s="119"/>
      <c r="X97" s="119"/>
      <c r="Y97" s="119"/>
      <c r="Z97" s="119"/>
      <c r="AA97" s="119"/>
      <c r="AB97" s="119"/>
      <c r="AC97" s="119"/>
      <c r="AD97" s="119"/>
      <c r="AE97" s="119"/>
      <c r="AF97" s="119"/>
      <c r="AG97" s="119"/>
      <c r="AH97" s="119"/>
      <c r="AI97" s="119"/>
      <c r="AJ97" s="119"/>
      <c r="AK97" s="119"/>
      <c r="AL97" s="119"/>
      <c r="AM97" s="119"/>
      <c r="AN97" s="119"/>
      <c r="AO97" s="119"/>
      <c r="AP97" s="119"/>
      <c r="AQ97" s="119"/>
      <c r="AR97" s="119"/>
      <c r="AS97" s="119"/>
      <c r="AT97" s="119"/>
      <c r="AU97" s="119"/>
      <c r="AV97" s="119"/>
      <c r="AW97" s="119"/>
      <c r="AX97" s="119"/>
      <c r="AY97" s="119"/>
      <c r="AZ97" s="119"/>
      <c r="BA97" s="119"/>
      <c r="BB97" s="119"/>
      <c r="BC97" s="119"/>
      <c r="BD97" s="119"/>
      <c r="BE97" s="119"/>
      <c r="BF97" s="119"/>
      <c r="BG97" s="119"/>
      <c r="BH97" s="119"/>
      <c r="BI97" s="119"/>
      <c r="BJ97" s="119"/>
      <c r="BK97" s="119"/>
      <c r="BL97" s="119"/>
      <c r="BM97" s="119"/>
      <c r="BN97" s="119"/>
      <c r="BO97" s="119"/>
      <c r="BP97" s="119"/>
      <c r="BQ97" s="119"/>
      <c r="BR97" s="119"/>
      <c r="BS97" s="119"/>
      <c r="BT97" s="119"/>
      <c r="BU97" s="119"/>
      <c r="BV97" s="119"/>
      <c r="BW97" s="119"/>
      <c r="BX97" s="119"/>
      <c r="BY97" s="119"/>
      <c r="BZ97" s="119"/>
      <c r="CA97" s="119"/>
      <c r="CB97" s="119"/>
      <c r="CC97" s="119"/>
      <c r="CD97" s="119"/>
      <c r="CE97" s="119"/>
      <c r="CF97" s="119"/>
      <c r="CG97" s="119"/>
      <c r="CH97" s="119"/>
      <c r="CI97" s="119"/>
      <c r="CJ97" s="119"/>
      <c r="CK97" s="119"/>
      <c r="CL97" s="119"/>
      <c r="CM97" s="119"/>
      <c r="CN97" s="119"/>
      <c r="CO97" s="119"/>
      <c r="CP97" s="119"/>
      <c r="CQ97" s="119"/>
      <c r="CR97" s="119"/>
      <c r="CS97" s="119"/>
      <c r="CT97" s="119"/>
      <c r="CU97" s="119"/>
      <c r="CV97" s="119"/>
      <c r="CW97" s="119"/>
      <c r="CX97" s="119"/>
      <c r="CY97" s="119"/>
      <c r="CZ97" s="119"/>
      <c r="DA97" s="119"/>
      <c r="DB97" s="119"/>
      <c r="DC97" s="119"/>
      <c r="DD97" s="119"/>
      <c r="DE97" s="119"/>
      <c r="DF97" s="119"/>
      <c r="DG97" s="119"/>
      <c r="DH97" s="119"/>
      <c r="DI97" s="119"/>
      <c r="DJ97" s="119"/>
      <c r="DK97" s="119"/>
      <c r="DL97" s="119"/>
      <c r="DM97" s="119"/>
      <c r="DN97" s="119"/>
      <c r="DO97" s="119"/>
      <c r="DP97" s="119"/>
      <c r="DQ97" s="119"/>
      <c r="DR97" s="119"/>
      <c r="DS97" s="119"/>
      <c r="DT97" s="119"/>
      <c r="DU97" s="119"/>
      <c r="DV97" s="119"/>
      <c r="DW97" s="119"/>
      <c r="DX97" s="119"/>
      <c r="DY97" s="119"/>
      <c r="DZ97" s="119"/>
      <c r="EA97" s="119"/>
      <c r="EB97" s="119"/>
      <c r="EC97" s="119"/>
      <c r="ED97" s="119"/>
      <c r="EE97" s="119"/>
      <c r="EF97" s="119"/>
      <c r="EG97" s="119"/>
      <c r="EH97" s="119"/>
      <c r="EI97" s="119"/>
      <c r="EJ97" s="119"/>
      <c r="EK97" s="119"/>
      <c r="EL97" s="119"/>
      <c r="EM97" s="119"/>
      <c r="EN97" s="119"/>
      <c r="EO97" s="119"/>
      <c r="EP97" s="119"/>
      <c r="EQ97" s="119"/>
      <c r="ER97" s="119"/>
      <c r="ES97" s="119"/>
      <c r="ET97" s="119"/>
      <c r="EU97" s="119"/>
      <c r="EV97" s="119"/>
      <c r="EW97" s="119"/>
      <c r="EX97" s="119"/>
      <c r="EY97" s="119"/>
      <c r="EZ97" s="119"/>
      <c r="FA97" s="119"/>
      <c r="FB97" s="119"/>
      <c r="FC97" s="119"/>
      <c r="FD97" s="119"/>
      <c r="FE97" s="119"/>
      <c r="FF97" s="119"/>
      <c r="FG97" s="119"/>
      <c r="FH97" s="119"/>
      <c r="FI97" s="119"/>
      <c r="FJ97" s="119"/>
      <c r="FK97" s="119"/>
      <c r="FL97" s="119"/>
      <c r="FM97" s="119"/>
      <c r="FN97" s="119"/>
      <c r="FO97" s="119"/>
      <c r="FP97" s="119"/>
      <c r="FQ97" s="119"/>
      <c r="FR97" s="119"/>
      <c r="FS97" s="119"/>
      <c r="FT97" s="119"/>
      <c r="FU97" s="119"/>
      <c r="FV97" s="119"/>
      <c r="FW97" s="119"/>
      <c r="FX97" s="119"/>
      <c r="FY97" s="119"/>
      <c r="FZ97" s="119"/>
      <c r="GA97" s="119"/>
      <c r="GB97" s="119"/>
      <c r="GC97" s="119"/>
      <c r="GD97" s="119"/>
      <c r="GE97" s="119"/>
      <c r="GF97" s="119"/>
      <c r="GG97" s="119"/>
      <c r="GH97" s="119"/>
      <c r="GI97" s="119"/>
      <c r="GJ97" s="119"/>
      <c r="GK97" s="119"/>
      <c r="GL97" s="119"/>
      <c r="GM97" s="119"/>
      <c r="GN97" s="119"/>
      <c r="GO97" s="119"/>
      <c r="GP97" s="119"/>
      <c r="GQ97" s="119"/>
      <c r="GR97" s="119"/>
      <c r="GS97" s="119"/>
      <c r="GT97" s="119"/>
      <c r="GU97" s="119"/>
      <c r="GV97" s="119"/>
      <c r="GW97" s="119"/>
      <c r="GX97" s="119"/>
      <c r="GY97" s="119"/>
      <c r="GZ97" s="119"/>
      <c r="HA97" s="119"/>
      <c r="HB97" s="119"/>
      <c r="HC97" s="119"/>
      <c r="HD97" s="119"/>
      <c r="HE97" s="119"/>
      <c r="HF97" s="119"/>
      <c r="HG97" s="119"/>
      <c r="HH97" s="119"/>
      <c r="HI97" s="119"/>
      <c r="HJ97" s="119"/>
      <c r="HK97" s="119"/>
      <c r="HL97" s="119"/>
      <c r="HM97" s="119"/>
      <c r="HN97" s="119"/>
      <c r="HO97" s="119"/>
      <c r="HP97" s="119"/>
      <c r="HQ97" s="119"/>
      <c r="HR97" s="119"/>
      <c r="HS97" s="119"/>
      <c r="HT97" s="119"/>
      <c r="HU97" s="119"/>
      <c r="HV97" s="119"/>
      <c r="HW97" s="119"/>
      <c r="HX97" s="119"/>
      <c r="HY97" s="119"/>
      <c r="HZ97" s="119"/>
      <c r="IA97" s="119"/>
      <c r="IB97" s="119"/>
      <c r="IC97" s="119"/>
      <c r="ID97" s="119"/>
      <c r="IE97" s="119"/>
      <c r="IF97" s="119"/>
      <c r="IG97" s="119"/>
      <c r="IH97" s="119"/>
      <c r="II97" s="119"/>
      <c r="IJ97" s="119"/>
      <c r="IK97" s="119"/>
      <c r="IL97" s="119"/>
      <c r="IM97" s="119"/>
      <c r="IN97" s="119"/>
      <c r="IO97" s="119"/>
      <c r="IP97" s="119"/>
      <c r="IQ97" s="119"/>
      <c r="IR97" s="119"/>
      <c r="IS97" s="119"/>
      <c r="IT97" s="119"/>
      <c r="IU97" s="119"/>
      <c r="IV97" s="119"/>
      <c r="IW97" s="119"/>
    </row>
    <row r="98" spans="1:257" s="187" customFormat="1" ht="18" customHeight="1" x14ac:dyDescent="0.35">
      <c r="A98" s="195">
        <v>89</v>
      </c>
      <c r="B98" s="192"/>
      <c r="C98" s="120"/>
      <c r="D98" s="1266" t="s">
        <v>808</v>
      </c>
      <c r="E98" s="547"/>
      <c r="F98" s="547"/>
      <c r="G98" s="696"/>
      <c r="H98" s="240"/>
      <c r="I98" s="275"/>
      <c r="J98" s="275"/>
      <c r="K98" s="559">
        <v>10083</v>
      </c>
      <c r="L98" s="559"/>
      <c r="M98" s="559"/>
      <c r="N98" s="559"/>
      <c r="O98" s="1795"/>
      <c r="P98" s="1272">
        <f>SUM(I98:N98)</f>
        <v>10083</v>
      </c>
      <c r="Q98" s="694"/>
      <c r="R98" s="119"/>
      <c r="S98" s="119"/>
      <c r="T98" s="119"/>
      <c r="U98" s="119"/>
      <c r="V98" s="119"/>
      <c r="W98" s="119"/>
      <c r="X98" s="119"/>
      <c r="Y98" s="119"/>
      <c r="Z98" s="119"/>
      <c r="AA98" s="119"/>
      <c r="AB98" s="119"/>
      <c r="AC98" s="119"/>
      <c r="AD98" s="119"/>
      <c r="AE98" s="119"/>
      <c r="AF98" s="119"/>
      <c r="AG98" s="119"/>
      <c r="AH98" s="119"/>
      <c r="AI98" s="119"/>
      <c r="AJ98" s="119"/>
      <c r="AK98" s="119"/>
      <c r="AL98" s="119"/>
      <c r="AM98" s="119"/>
      <c r="AN98" s="119"/>
      <c r="AO98" s="119"/>
      <c r="AP98" s="119"/>
      <c r="AQ98" s="119"/>
      <c r="AR98" s="119"/>
      <c r="AS98" s="119"/>
      <c r="AT98" s="119"/>
      <c r="AU98" s="119"/>
      <c r="AV98" s="119"/>
      <c r="AW98" s="119"/>
      <c r="AX98" s="119"/>
      <c r="AY98" s="119"/>
      <c r="AZ98" s="119"/>
      <c r="BA98" s="119"/>
      <c r="BB98" s="119"/>
      <c r="BC98" s="119"/>
      <c r="BD98" s="119"/>
      <c r="BE98" s="119"/>
      <c r="BF98" s="119"/>
      <c r="BG98" s="119"/>
      <c r="BH98" s="119"/>
      <c r="BI98" s="119"/>
      <c r="BJ98" s="119"/>
      <c r="BK98" s="119"/>
      <c r="BL98" s="119"/>
      <c r="BM98" s="119"/>
      <c r="BN98" s="119"/>
      <c r="BO98" s="119"/>
      <c r="BP98" s="119"/>
      <c r="BQ98" s="119"/>
      <c r="BR98" s="119"/>
      <c r="BS98" s="119"/>
      <c r="BT98" s="119"/>
      <c r="BU98" s="119"/>
      <c r="BV98" s="119"/>
      <c r="BW98" s="119"/>
      <c r="BX98" s="119"/>
      <c r="BY98" s="119"/>
      <c r="BZ98" s="119"/>
      <c r="CA98" s="119"/>
      <c r="CB98" s="119"/>
      <c r="CC98" s="119"/>
      <c r="CD98" s="119"/>
      <c r="CE98" s="119"/>
      <c r="CF98" s="119"/>
      <c r="CG98" s="119"/>
      <c r="CH98" s="119"/>
      <c r="CI98" s="119"/>
      <c r="CJ98" s="119"/>
      <c r="CK98" s="119"/>
      <c r="CL98" s="119"/>
      <c r="CM98" s="119"/>
      <c r="CN98" s="119"/>
      <c r="CO98" s="119"/>
      <c r="CP98" s="119"/>
      <c r="CQ98" s="119"/>
      <c r="CR98" s="119"/>
      <c r="CS98" s="119"/>
      <c r="CT98" s="119"/>
      <c r="CU98" s="119"/>
      <c r="CV98" s="119"/>
      <c r="CW98" s="119"/>
      <c r="CX98" s="119"/>
      <c r="CY98" s="119"/>
      <c r="CZ98" s="119"/>
      <c r="DA98" s="119"/>
      <c r="DB98" s="119"/>
      <c r="DC98" s="119"/>
      <c r="DD98" s="119"/>
      <c r="DE98" s="119"/>
      <c r="DF98" s="119"/>
      <c r="DG98" s="119"/>
      <c r="DH98" s="119"/>
      <c r="DI98" s="119"/>
      <c r="DJ98" s="119"/>
      <c r="DK98" s="119"/>
      <c r="DL98" s="119"/>
      <c r="DM98" s="119"/>
      <c r="DN98" s="119"/>
      <c r="DO98" s="119"/>
      <c r="DP98" s="119"/>
      <c r="DQ98" s="119"/>
      <c r="DR98" s="119"/>
      <c r="DS98" s="119"/>
      <c r="DT98" s="119"/>
      <c r="DU98" s="119"/>
      <c r="DV98" s="119"/>
      <c r="DW98" s="119"/>
      <c r="DX98" s="119"/>
      <c r="DY98" s="119"/>
      <c r="DZ98" s="119"/>
      <c r="EA98" s="119"/>
      <c r="EB98" s="119"/>
      <c r="EC98" s="119"/>
      <c r="ED98" s="119"/>
      <c r="EE98" s="119"/>
      <c r="EF98" s="119"/>
      <c r="EG98" s="119"/>
      <c r="EH98" s="119"/>
      <c r="EI98" s="119"/>
      <c r="EJ98" s="119"/>
      <c r="EK98" s="119"/>
      <c r="EL98" s="119"/>
      <c r="EM98" s="119"/>
      <c r="EN98" s="119"/>
      <c r="EO98" s="119"/>
      <c r="EP98" s="119"/>
      <c r="EQ98" s="119"/>
      <c r="ER98" s="119"/>
      <c r="ES98" s="119"/>
      <c r="ET98" s="119"/>
      <c r="EU98" s="119"/>
      <c r="EV98" s="119"/>
      <c r="EW98" s="119"/>
      <c r="EX98" s="119"/>
      <c r="EY98" s="119"/>
      <c r="EZ98" s="119"/>
      <c r="FA98" s="119"/>
      <c r="FB98" s="119"/>
      <c r="FC98" s="119"/>
      <c r="FD98" s="119"/>
      <c r="FE98" s="119"/>
      <c r="FF98" s="119"/>
      <c r="FG98" s="119"/>
      <c r="FH98" s="119"/>
      <c r="FI98" s="119"/>
      <c r="FJ98" s="119"/>
      <c r="FK98" s="119"/>
      <c r="FL98" s="119"/>
      <c r="FM98" s="119"/>
      <c r="FN98" s="119"/>
      <c r="FO98" s="119"/>
      <c r="FP98" s="119"/>
      <c r="FQ98" s="119"/>
      <c r="FR98" s="119"/>
      <c r="FS98" s="119"/>
      <c r="FT98" s="119"/>
      <c r="FU98" s="119"/>
      <c r="FV98" s="119"/>
      <c r="FW98" s="119"/>
      <c r="FX98" s="119"/>
      <c r="FY98" s="119"/>
      <c r="FZ98" s="119"/>
      <c r="GA98" s="119"/>
      <c r="GB98" s="119"/>
      <c r="GC98" s="119"/>
      <c r="GD98" s="119"/>
      <c r="GE98" s="119"/>
      <c r="GF98" s="119"/>
      <c r="GG98" s="119"/>
      <c r="GH98" s="119"/>
      <c r="GI98" s="119"/>
      <c r="GJ98" s="119"/>
      <c r="GK98" s="119"/>
      <c r="GL98" s="119"/>
      <c r="GM98" s="119"/>
      <c r="GN98" s="119"/>
      <c r="GO98" s="119"/>
      <c r="GP98" s="119"/>
      <c r="GQ98" s="119"/>
      <c r="GR98" s="119"/>
      <c r="GS98" s="119"/>
      <c r="GT98" s="119"/>
      <c r="GU98" s="119"/>
      <c r="GV98" s="119"/>
      <c r="GW98" s="119"/>
      <c r="GX98" s="119"/>
      <c r="GY98" s="119"/>
      <c r="GZ98" s="119"/>
      <c r="HA98" s="119"/>
      <c r="HB98" s="119"/>
      <c r="HC98" s="119"/>
      <c r="HD98" s="119"/>
      <c r="HE98" s="119"/>
      <c r="HF98" s="119"/>
      <c r="HG98" s="119"/>
      <c r="HH98" s="119"/>
      <c r="HI98" s="119"/>
      <c r="HJ98" s="119"/>
      <c r="HK98" s="119"/>
      <c r="HL98" s="119"/>
      <c r="HM98" s="119"/>
      <c r="HN98" s="119"/>
      <c r="HO98" s="119"/>
      <c r="HP98" s="119"/>
      <c r="HQ98" s="119"/>
      <c r="HR98" s="119"/>
      <c r="HS98" s="119"/>
      <c r="HT98" s="119"/>
      <c r="HU98" s="119"/>
      <c r="HV98" s="119"/>
      <c r="HW98" s="119"/>
      <c r="HX98" s="119"/>
      <c r="HY98" s="119"/>
      <c r="HZ98" s="119"/>
      <c r="IA98" s="119"/>
      <c r="IB98" s="119"/>
      <c r="IC98" s="119"/>
      <c r="ID98" s="119"/>
      <c r="IE98" s="119"/>
      <c r="IF98" s="119"/>
      <c r="IG98" s="119"/>
      <c r="IH98" s="119"/>
      <c r="II98" s="119"/>
      <c r="IJ98" s="119"/>
      <c r="IK98" s="119"/>
      <c r="IL98" s="119"/>
      <c r="IM98" s="119"/>
      <c r="IN98" s="119"/>
      <c r="IO98" s="119"/>
      <c r="IP98" s="119"/>
      <c r="IQ98" s="119"/>
      <c r="IR98" s="119"/>
      <c r="IS98" s="119"/>
      <c r="IT98" s="119"/>
      <c r="IU98" s="119"/>
      <c r="IV98" s="119"/>
      <c r="IW98" s="119"/>
    </row>
    <row r="99" spans="1:257" s="187" customFormat="1" ht="18" customHeight="1" x14ac:dyDescent="0.35">
      <c r="A99" s="195">
        <v>90</v>
      </c>
      <c r="B99" s="192"/>
      <c r="C99" s="120"/>
      <c r="D99" s="1265" t="s">
        <v>656</v>
      </c>
      <c r="E99" s="547"/>
      <c r="F99" s="547"/>
      <c r="G99" s="696"/>
      <c r="H99" s="240"/>
      <c r="I99" s="1282"/>
      <c r="J99" s="1282"/>
      <c r="K99" s="1282"/>
      <c r="L99" s="1282"/>
      <c r="M99" s="1282"/>
      <c r="N99" s="1282"/>
      <c r="O99" s="1792"/>
      <c r="P99" s="1274">
        <f t="shared" ref="P99:P100" si="25">SUM(I99:N99)</f>
        <v>0</v>
      </c>
      <c r="Q99" s="694"/>
      <c r="R99" s="119"/>
      <c r="S99" s="119"/>
      <c r="T99" s="119"/>
      <c r="U99" s="119"/>
      <c r="V99" s="119"/>
      <c r="W99" s="119"/>
      <c r="X99" s="119"/>
      <c r="Y99" s="119"/>
      <c r="Z99" s="119"/>
      <c r="AA99" s="119"/>
      <c r="AB99" s="119"/>
      <c r="AC99" s="119"/>
      <c r="AD99" s="119"/>
      <c r="AE99" s="119"/>
      <c r="AF99" s="119"/>
      <c r="AG99" s="119"/>
      <c r="AH99" s="119"/>
      <c r="AI99" s="119"/>
      <c r="AJ99" s="119"/>
      <c r="AK99" s="119"/>
      <c r="AL99" s="119"/>
      <c r="AM99" s="119"/>
      <c r="AN99" s="119"/>
      <c r="AO99" s="119"/>
      <c r="AP99" s="119"/>
      <c r="AQ99" s="119"/>
      <c r="AR99" s="119"/>
      <c r="AS99" s="119"/>
      <c r="AT99" s="119"/>
      <c r="AU99" s="119"/>
      <c r="AV99" s="119"/>
      <c r="AW99" s="119"/>
      <c r="AX99" s="119"/>
      <c r="AY99" s="119"/>
      <c r="AZ99" s="119"/>
      <c r="BA99" s="119"/>
      <c r="BB99" s="119"/>
      <c r="BC99" s="119"/>
      <c r="BD99" s="119"/>
      <c r="BE99" s="119"/>
      <c r="BF99" s="119"/>
      <c r="BG99" s="119"/>
      <c r="BH99" s="119"/>
      <c r="BI99" s="119"/>
      <c r="BJ99" s="119"/>
      <c r="BK99" s="119"/>
      <c r="BL99" s="119"/>
      <c r="BM99" s="119"/>
      <c r="BN99" s="119"/>
      <c r="BO99" s="119"/>
      <c r="BP99" s="119"/>
      <c r="BQ99" s="119"/>
      <c r="BR99" s="119"/>
      <c r="BS99" s="119"/>
      <c r="BT99" s="119"/>
      <c r="BU99" s="119"/>
      <c r="BV99" s="119"/>
      <c r="BW99" s="119"/>
      <c r="BX99" s="119"/>
      <c r="BY99" s="119"/>
      <c r="BZ99" s="119"/>
      <c r="CA99" s="119"/>
      <c r="CB99" s="119"/>
      <c r="CC99" s="119"/>
      <c r="CD99" s="119"/>
      <c r="CE99" s="119"/>
      <c r="CF99" s="119"/>
      <c r="CG99" s="119"/>
      <c r="CH99" s="119"/>
      <c r="CI99" s="119"/>
      <c r="CJ99" s="119"/>
      <c r="CK99" s="119"/>
      <c r="CL99" s="119"/>
      <c r="CM99" s="119"/>
      <c r="CN99" s="119"/>
      <c r="CO99" s="119"/>
      <c r="CP99" s="119"/>
      <c r="CQ99" s="119"/>
      <c r="CR99" s="119"/>
      <c r="CS99" s="119"/>
      <c r="CT99" s="119"/>
      <c r="CU99" s="119"/>
      <c r="CV99" s="119"/>
      <c r="CW99" s="119"/>
      <c r="CX99" s="119"/>
      <c r="CY99" s="119"/>
      <c r="CZ99" s="119"/>
      <c r="DA99" s="119"/>
      <c r="DB99" s="119"/>
      <c r="DC99" s="119"/>
      <c r="DD99" s="119"/>
      <c r="DE99" s="119"/>
      <c r="DF99" s="119"/>
      <c r="DG99" s="119"/>
      <c r="DH99" s="119"/>
      <c r="DI99" s="119"/>
      <c r="DJ99" s="119"/>
      <c r="DK99" s="119"/>
      <c r="DL99" s="119"/>
      <c r="DM99" s="119"/>
      <c r="DN99" s="119"/>
      <c r="DO99" s="119"/>
      <c r="DP99" s="119"/>
      <c r="DQ99" s="119"/>
      <c r="DR99" s="119"/>
      <c r="DS99" s="119"/>
      <c r="DT99" s="119"/>
      <c r="DU99" s="119"/>
      <c r="DV99" s="119"/>
      <c r="DW99" s="119"/>
      <c r="DX99" s="119"/>
      <c r="DY99" s="119"/>
      <c r="DZ99" s="119"/>
      <c r="EA99" s="119"/>
      <c r="EB99" s="119"/>
      <c r="EC99" s="119"/>
      <c r="ED99" s="119"/>
      <c r="EE99" s="119"/>
      <c r="EF99" s="119"/>
      <c r="EG99" s="119"/>
      <c r="EH99" s="119"/>
      <c r="EI99" s="119"/>
      <c r="EJ99" s="119"/>
      <c r="EK99" s="119"/>
      <c r="EL99" s="119"/>
      <c r="EM99" s="119"/>
      <c r="EN99" s="119"/>
      <c r="EO99" s="119"/>
      <c r="EP99" s="119"/>
      <c r="EQ99" s="119"/>
      <c r="ER99" s="119"/>
      <c r="ES99" s="119"/>
      <c r="ET99" s="119"/>
      <c r="EU99" s="119"/>
      <c r="EV99" s="119"/>
      <c r="EW99" s="119"/>
      <c r="EX99" s="119"/>
      <c r="EY99" s="119"/>
      <c r="EZ99" s="119"/>
      <c r="FA99" s="119"/>
      <c r="FB99" s="119"/>
      <c r="FC99" s="119"/>
      <c r="FD99" s="119"/>
      <c r="FE99" s="119"/>
      <c r="FF99" s="119"/>
      <c r="FG99" s="119"/>
      <c r="FH99" s="119"/>
      <c r="FI99" s="119"/>
      <c r="FJ99" s="119"/>
      <c r="FK99" s="119"/>
      <c r="FL99" s="119"/>
      <c r="FM99" s="119"/>
      <c r="FN99" s="119"/>
      <c r="FO99" s="119"/>
      <c r="FP99" s="119"/>
      <c r="FQ99" s="119"/>
      <c r="FR99" s="119"/>
      <c r="FS99" s="119"/>
      <c r="FT99" s="119"/>
      <c r="FU99" s="119"/>
      <c r="FV99" s="119"/>
      <c r="FW99" s="119"/>
      <c r="FX99" s="119"/>
      <c r="FY99" s="119"/>
      <c r="FZ99" s="119"/>
      <c r="GA99" s="119"/>
      <c r="GB99" s="119"/>
      <c r="GC99" s="119"/>
      <c r="GD99" s="119"/>
      <c r="GE99" s="119"/>
      <c r="GF99" s="119"/>
      <c r="GG99" s="119"/>
      <c r="GH99" s="119"/>
      <c r="GI99" s="119"/>
      <c r="GJ99" s="119"/>
      <c r="GK99" s="119"/>
      <c r="GL99" s="119"/>
      <c r="GM99" s="119"/>
      <c r="GN99" s="119"/>
      <c r="GO99" s="119"/>
      <c r="GP99" s="119"/>
      <c r="GQ99" s="119"/>
      <c r="GR99" s="119"/>
      <c r="GS99" s="119"/>
      <c r="GT99" s="119"/>
      <c r="GU99" s="119"/>
      <c r="GV99" s="119"/>
      <c r="GW99" s="119"/>
      <c r="GX99" s="119"/>
      <c r="GY99" s="119"/>
      <c r="GZ99" s="119"/>
      <c r="HA99" s="119"/>
      <c r="HB99" s="119"/>
      <c r="HC99" s="119"/>
      <c r="HD99" s="119"/>
      <c r="HE99" s="119"/>
      <c r="HF99" s="119"/>
      <c r="HG99" s="119"/>
      <c r="HH99" s="119"/>
      <c r="HI99" s="119"/>
      <c r="HJ99" s="119"/>
      <c r="HK99" s="119"/>
      <c r="HL99" s="119"/>
      <c r="HM99" s="119"/>
      <c r="HN99" s="119"/>
      <c r="HO99" s="119"/>
      <c r="HP99" s="119"/>
      <c r="HQ99" s="119"/>
      <c r="HR99" s="119"/>
      <c r="HS99" s="119"/>
      <c r="HT99" s="119"/>
      <c r="HU99" s="119"/>
      <c r="HV99" s="119"/>
      <c r="HW99" s="119"/>
      <c r="HX99" s="119"/>
      <c r="HY99" s="119"/>
      <c r="HZ99" s="119"/>
      <c r="IA99" s="119"/>
      <c r="IB99" s="119"/>
      <c r="IC99" s="119"/>
      <c r="ID99" s="119"/>
      <c r="IE99" s="119"/>
      <c r="IF99" s="119"/>
      <c r="IG99" s="119"/>
      <c r="IH99" s="119"/>
      <c r="II99" s="119"/>
      <c r="IJ99" s="119"/>
      <c r="IK99" s="119"/>
      <c r="IL99" s="119"/>
      <c r="IM99" s="119"/>
      <c r="IN99" s="119"/>
      <c r="IO99" s="119"/>
      <c r="IP99" s="119"/>
      <c r="IQ99" s="119"/>
      <c r="IR99" s="119"/>
      <c r="IS99" s="119"/>
      <c r="IT99" s="119"/>
      <c r="IU99" s="119"/>
      <c r="IV99" s="119"/>
      <c r="IW99" s="119"/>
    </row>
    <row r="100" spans="1:257" s="187" customFormat="1" ht="18" customHeight="1" x14ac:dyDescent="0.35">
      <c r="A100" s="195">
        <v>91</v>
      </c>
      <c r="B100" s="192"/>
      <c r="C100" s="120"/>
      <c r="D100" s="1266" t="s">
        <v>862</v>
      </c>
      <c r="E100" s="547"/>
      <c r="F100" s="547"/>
      <c r="G100" s="696"/>
      <c r="H100" s="240"/>
      <c r="I100" s="559"/>
      <c r="J100" s="559"/>
      <c r="K100" s="559">
        <f>SUM(K98:K99)</f>
        <v>10083</v>
      </c>
      <c r="L100" s="559"/>
      <c r="M100" s="559"/>
      <c r="N100" s="559"/>
      <c r="O100" s="1795"/>
      <c r="P100" s="1272">
        <f t="shared" si="25"/>
        <v>10083</v>
      </c>
      <c r="Q100" s="694"/>
      <c r="R100" s="119"/>
      <c r="S100" s="119"/>
      <c r="T100" s="119"/>
      <c r="U100" s="119"/>
      <c r="V100" s="119"/>
      <c r="W100" s="119"/>
      <c r="X100" s="119"/>
      <c r="Y100" s="119"/>
      <c r="Z100" s="119"/>
      <c r="AA100" s="119"/>
      <c r="AB100" s="119"/>
      <c r="AC100" s="119"/>
      <c r="AD100" s="119"/>
      <c r="AE100" s="119"/>
      <c r="AF100" s="119"/>
      <c r="AG100" s="119"/>
      <c r="AH100" s="119"/>
      <c r="AI100" s="119"/>
      <c r="AJ100" s="119"/>
      <c r="AK100" s="119"/>
      <c r="AL100" s="119"/>
      <c r="AM100" s="119"/>
      <c r="AN100" s="119"/>
      <c r="AO100" s="119"/>
      <c r="AP100" s="119"/>
      <c r="AQ100" s="119"/>
      <c r="AR100" s="119"/>
      <c r="AS100" s="119"/>
      <c r="AT100" s="119"/>
      <c r="AU100" s="119"/>
      <c r="AV100" s="119"/>
      <c r="AW100" s="119"/>
      <c r="AX100" s="119"/>
      <c r="AY100" s="119"/>
      <c r="AZ100" s="119"/>
      <c r="BA100" s="119"/>
      <c r="BB100" s="119"/>
      <c r="BC100" s="119"/>
      <c r="BD100" s="119"/>
      <c r="BE100" s="119"/>
      <c r="BF100" s="119"/>
      <c r="BG100" s="119"/>
      <c r="BH100" s="119"/>
      <c r="BI100" s="119"/>
      <c r="BJ100" s="119"/>
      <c r="BK100" s="119"/>
      <c r="BL100" s="119"/>
      <c r="BM100" s="119"/>
      <c r="BN100" s="119"/>
      <c r="BO100" s="119"/>
      <c r="BP100" s="119"/>
      <c r="BQ100" s="119"/>
      <c r="BR100" s="119"/>
      <c r="BS100" s="119"/>
      <c r="BT100" s="119"/>
      <c r="BU100" s="119"/>
      <c r="BV100" s="119"/>
      <c r="BW100" s="119"/>
      <c r="BX100" s="119"/>
      <c r="BY100" s="119"/>
      <c r="BZ100" s="119"/>
      <c r="CA100" s="119"/>
      <c r="CB100" s="119"/>
      <c r="CC100" s="119"/>
      <c r="CD100" s="119"/>
      <c r="CE100" s="119"/>
      <c r="CF100" s="119"/>
      <c r="CG100" s="119"/>
      <c r="CH100" s="119"/>
      <c r="CI100" s="119"/>
      <c r="CJ100" s="119"/>
      <c r="CK100" s="119"/>
      <c r="CL100" s="119"/>
      <c r="CM100" s="119"/>
      <c r="CN100" s="119"/>
      <c r="CO100" s="119"/>
      <c r="CP100" s="119"/>
      <c r="CQ100" s="119"/>
      <c r="CR100" s="119"/>
      <c r="CS100" s="119"/>
      <c r="CT100" s="119"/>
      <c r="CU100" s="119"/>
      <c r="CV100" s="119"/>
      <c r="CW100" s="119"/>
      <c r="CX100" s="119"/>
      <c r="CY100" s="119"/>
      <c r="CZ100" s="119"/>
      <c r="DA100" s="119"/>
      <c r="DB100" s="119"/>
      <c r="DC100" s="119"/>
      <c r="DD100" s="119"/>
      <c r="DE100" s="119"/>
      <c r="DF100" s="119"/>
      <c r="DG100" s="119"/>
      <c r="DH100" s="119"/>
      <c r="DI100" s="119"/>
      <c r="DJ100" s="119"/>
      <c r="DK100" s="119"/>
      <c r="DL100" s="119"/>
      <c r="DM100" s="119"/>
      <c r="DN100" s="119"/>
      <c r="DO100" s="119"/>
      <c r="DP100" s="119"/>
      <c r="DQ100" s="119"/>
      <c r="DR100" s="119"/>
      <c r="DS100" s="119"/>
      <c r="DT100" s="119"/>
      <c r="DU100" s="119"/>
      <c r="DV100" s="119"/>
      <c r="DW100" s="119"/>
      <c r="DX100" s="119"/>
      <c r="DY100" s="119"/>
      <c r="DZ100" s="119"/>
      <c r="EA100" s="119"/>
      <c r="EB100" s="119"/>
      <c r="EC100" s="119"/>
      <c r="ED100" s="119"/>
      <c r="EE100" s="119"/>
      <c r="EF100" s="119"/>
      <c r="EG100" s="119"/>
      <c r="EH100" s="119"/>
      <c r="EI100" s="119"/>
      <c r="EJ100" s="119"/>
      <c r="EK100" s="119"/>
      <c r="EL100" s="119"/>
      <c r="EM100" s="119"/>
      <c r="EN100" s="119"/>
      <c r="EO100" s="119"/>
      <c r="EP100" s="119"/>
      <c r="EQ100" s="119"/>
      <c r="ER100" s="119"/>
      <c r="ES100" s="119"/>
      <c r="ET100" s="119"/>
      <c r="EU100" s="119"/>
      <c r="EV100" s="119"/>
      <c r="EW100" s="119"/>
      <c r="EX100" s="119"/>
      <c r="EY100" s="119"/>
      <c r="EZ100" s="119"/>
      <c r="FA100" s="119"/>
      <c r="FB100" s="119"/>
      <c r="FC100" s="119"/>
      <c r="FD100" s="119"/>
      <c r="FE100" s="119"/>
      <c r="FF100" s="119"/>
      <c r="FG100" s="119"/>
      <c r="FH100" s="119"/>
      <c r="FI100" s="119"/>
      <c r="FJ100" s="119"/>
      <c r="FK100" s="119"/>
      <c r="FL100" s="119"/>
      <c r="FM100" s="119"/>
      <c r="FN100" s="119"/>
      <c r="FO100" s="119"/>
      <c r="FP100" s="119"/>
      <c r="FQ100" s="119"/>
      <c r="FR100" s="119"/>
      <c r="FS100" s="119"/>
      <c r="FT100" s="119"/>
      <c r="FU100" s="119"/>
      <c r="FV100" s="119"/>
      <c r="FW100" s="119"/>
      <c r="FX100" s="119"/>
      <c r="FY100" s="119"/>
      <c r="FZ100" s="119"/>
      <c r="GA100" s="119"/>
      <c r="GB100" s="119"/>
      <c r="GC100" s="119"/>
      <c r="GD100" s="119"/>
      <c r="GE100" s="119"/>
      <c r="GF100" s="119"/>
      <c r="GG100" s="119"/>
      <c r="GH100" s="119"/>
      <c r="GI100" s="119"/>
      <c r="GJ100" s="119"/>
      <c r="GK100" s="119"/>
      <c r="GL100" s="119"/>
      <c r="GM100" s="119"/>
      <c r="GN100" s="119"/>
      <c r="GO100" s="119"/>
      <c r="GP100" s="119"/>
      <c r="GQ100" s="119"/>
      <c r="GR100" s="119"/>
      <c r="GS100" s="119"/>
      <c r="GT100" s="119"/>
      <c r="GU100" s="119"/>
      <c r="GV100" s="119"/>
      <c r="GW100" s="119"/>
      <c r="GX100" s="119"/>
      <c r="GY100" s="119"/>
      <c r="GZ100" s="119"/>
      <c r="HA100" s="119"/>
      <c r="HB100" s="119"/>
      <c r="HC100" s="119"/>
      <c r="HD100" s="119"/>
      <c r="HE100" s="119"/>
      <c r="HF100" s="119"/>
      <c r="HG100" s="119"/>
      <c r="HH100" s="119"/>
      <c r="HI100" s="119"/>
      <c r="HJ100" s="119"/>
      <c r="HK100" s="119"/>
      <c r="HL100" s="119"/>
      <c r="HM100" s="119"/>
      <c r="HN100" s="119"/>
      <c r="HO100" s="119"/>
      <c r="HP100" s="119"/>
      <c r="HQ100" s="119"/>
      <c r="HR100" s="119"/>
      <c r="HS100" s="119"/>
      <c r="HT100" s="119"/>
      <c r="HU100" s="119"/>
      <c r="HV100" s="119"/>
      <c r="HW100" s="119"/>
      <c r="HX100" s="119"/>
      <c r="HY100" s="119"/>
      <c r="HZ100" s="119"/>
      <c r="IA100" s="119"/>
      <c r="IB100" s="119"/>
      <c r="IC100" s="119"/>
      <c r="ID100" s="119"/>
      <c r="IE100" s="119"/>
      <c r="IF100" s="119"/>
      <c r="IG100" s="119"/>
      <c r="IH100" s="119"/>
      <c r="II100" s="119"/>
      <c r="IJ100" s="119"/>
      <c r="IK100" s="119"/>
      <c r="IL100" s="119"/>
      <c r="IM100" s="119"/>
      <c r="IN100" s="119"/>
      <c r="IO100" s="119"/>
      <c r="IP100" s="119"/>
      <c r="IQ100" s="119"/>
      <c r="IR100" s="119"/>
      <c r="IS100" s="119"/>
      <c r="IT100" s="119"/>
      <c r="IU100" s="119"/>
      <c r="IV100" s="119"/>
      <c r="IW100" s="119"/>
    </row>
    <row r="101" spans="1:257" s="187" customFormat="1" ht="33.75" x14ac:dyDescent="0.35">
      <c r="A101" s="195">
        <v>92</v>
      </c>
      <c r="B101" s="192"/>
      <c r="C101" s="120">
        <v>35</v>
      </c>
      <c r="D101" s="121" t="s">
        <v>517</v>
      </c>
      <c r="E101" s="547">
        <f>F101+G101+P105+Q102</f>
        <v>19296</v>
      </c>
      <c r="F101" s="547"/>
      <c r="G101" s="696"/>
      <c r="H101" s="578" t="s">
        <v>24</v>
      </c>
      <c r="I101" s="275"/>
      <c r="J101" s="275"/>
      <c r="K101" s="275"/>
      <c r="L101" s="275"/>
      <c r="M101" s="275"/>
      <c r="N101" s="686"/>
      <c r="O101" s="1784"/>
      <c r="P101" s="217"/>
      <c r="Q101" s="694"/>
      <c r="R101" s="119"/>
      <c r="S101" s="119"/>
      <c r="T101" s="119"/>
      <c r="U101" s="119"/>
      <c r="V101" s="119"/>
      <c r="W101" s="119"/>
      <c r="X101" s="119"/>
      <c r="Y101" s="119"/>
      <c r="Z101" s="119"/>
      <c r="AA101" s="119"/>
      <c r="AB101" s="119"/>
      <c r="AC101" s="119"/>
      <c r="AD101" s="119"/>
      <c r="AE101" s="119"/>
      <c r="AF101" s="119"/>
      <c r="AG101" s="119"/>
      <c r="AH101" s="119"/>
      <c r="AI101" s="119"/>
      <c r="AJ101" s="119"/>
      <c r="AK101" s="119"/>
      <c r="AL101" s="119"/>
      <c r="AM101" s="119"/>
      <c r="AN101" s="119"/>
      <c r="AO101" s="119"/>
      <c r="AP101" s="119"/>
      <c r="AQ101" s="119"/>
      <c r="AR101" s="119"/>
      <c r="AS101" s="119"/>
      <c r="AT101" s="119"/>
      <c r="AU101" s="119"/>
      <c r="AV101" s="119"/>
      <c r="AW101" s="119"/>
      <c r="AX101" s="119"/>
      <c r="AY101" s="119"/>
      <c r="AZ101" s="119"/>
      <c r="BA101" s="119"/>
      <c r="BB101" s="119"/>
      <c r="BC101" s="119"/>
      <c r="BD101" s="119"/>
      <c r="BE101" s="119"/>
      <c r="BF101" s="119"/>
      <c r="BG101" s="119"/>
      <c r="BH101" s="119"/>
      <c r="BI101" s="119"/>
      <c r="BJ101" s="119"/>
      <c r="BK101" s="119"/>
      <c r="BL101" s="119"/>
      <c r="BM101" s="119"/>
      <c r="BN101" s="119"/>
      <c r="BO101" s="119"/>
      <c r="BP101" s="119"/>
      <c r="BQ101" s="119"/>
      <c r="BR101" s="119"/>
      <c r="BS101" s="119"/>
      <c r="BT101" s="119"/>
      <c r="BU101" s="119"/>
      <c r="BV101" s="119"/>
      <c r="BW101" s="119"/>
      <c r="BX101" s="119"/>
      <c r="BY101" s="119"/>
      <c r="BZ101" s="119"/>
      <c r="CA101" s="119"/>
      <c r="CB101" s="119"/>
      <c r="CC101" s="119"/>
      <c r="CD101" s="119"/>
      <c r="CE101" s="119"/>
      <c r="CF101" s="119"/>
      <c r="CG101" s="119"/>
      <c r="CH101" s="119"/>
      <c r="CI101" s="119"/>
      <c r="CJ101" s="119"/>
      <c r="CK101" s="119"/>
      <c r="CL101" s="119"/>
      <c r="CM101" s="119"/>
      <c r="CN101" s="119"/>
      <c r="CO101" s="119"/>
      <c r="CP101" s="119"/>
      <c r="CQ101" s="119"/>
      <c r="CR101" s="119"/>
      <c r="CS101" s="119"/>
      <c r="CT101" s="119"/>
      <c r="CU101" s="119"/>
      <c r="CV101" s="119"/>
      <c r="CW101" s="119"/>
      <c r="CX101" s="119"/>
      <c r="CY101" s="119"/>
      <c r="CZ101" s="119"/>
      <c r="DA101" s="119"/>
      <c r="DB101" s="119"/>
      <c r="DC101" s="119"/>
      <c r="DD101" s="119"/>
      <c r="DE101" s="119"/>
      <c r="DF101" s="119"/>
      <c r="DG101" s="119"/>
      <c r="DH101" s="119"/>
      <c r="DI101" s="119"/>
      <c r="DJ101" s="119"/>
      <c r="DK101" s="119"/>
      <c r="DL101" s="119"/>
      <c r="DM101" s="119"/>
      <c r="DN101" s="119"/>
      <c r="DO101" s="119"/>
      <c r="DP101" s="119"/>
      <c r="DQ101" s="119"/>
      <c r="DR101" s="119"/>
      <c r="DS101" s="119"/>
      <c r="DT101" s="119"/>
      <c r="DU101" s="119"/>
      <c r="DV101" s="119"/>
      <c r="DW101" s="119"/>
      <c r="DX101" s="119"/>
      <c r="DY101" s="119"/>
      <c r="DZ101" s="119"/>
      <c r="EA101" s="119"/>
      <c r="EB101" s="119"/>
      <c r="EC101" s="119"/>
      <c r="ED101" s="119"/>
      <c r="EE101" s="119"/>
      <c r="EF101" s="119"/>
      <c r="EG101" s="119"/>
      <c r="EH101" s="119"/>
      <c r="EI101" s="119"/>
      <c r="EJ101" s="119"/>
      <c r="EK101" s="119"/>
      <c r="EL101" s="119"/>
      <c r="EM101" s="119"/>
      <c r="EN101" s="119"/>
      <c r="EO101" s="119"/>
      <c r="EP101" s="119"/>
      <c r="EQ101" s="119"/>
      <c r="ER101" s="119"/>
      <c r="ES101" s="119"/>
      <c r="ET101" s="119"/>
      <c r="EU101" s="119"/>
      <c r="EV101" s="119"/>
      <c r="EW101" s="119"/>
      <c r="EX101" s="119"/>
      <c r="EY101" s="119"/>
      <c r="EZ101" s="119"/>
      <c r="FA101" s="119"/>
      <c r="FB101" s="119"/>
      <c r="FC101" s="119"/>
      <c r="FD101" s="119"/>
      <c r="FE101" s="119"/>
      <c r="FF101" s="119"/>
      <c r="FG101" s="119"/>
      <c r="FH101" s="119"/>
      <c r="FI101" s="119"/>
      <c r="FJ101" s="119"/>
      <c r="FK101" s="119"/>
      <c r="FL101" s="119"/>
      <c r="FM101" s="119"/>
      <c r="FN101" s="119"/>
      <c r="FO101" s="119"/>
      <c r="FP101" s="119"/>
      <c r="FQ101" s="119"/>
      <c r="FR101" s="119"/>
      <c r="FS101" s="119"/>
      <c r="FT101" s="119"/>
      <c r="FU101" s="119"/>
      <c r="FV101" s="119"/>
      <c r="FW101" s="119"/>
      <c r="FX101" s="119"/>
      <c r="FY101" s="119"/>
      <c r="FZ101" s="119"/>
      <c r="GA101" s="119"/>
      <c r="GB101" s="119"/>
      <c r="GC101" s="119"/>
      <c r="GD101" s="119"/>
      <c r="GE101" s="119"/>
      <c r="GF101" s="119"/>
      <c r="GG101" s="119"/>
      <c r="GH101" s="119"/>
      <c r="GI101" s="119"/>
      <c r="GJ101" s="119"/>
      <c r="GK101" s="119"/>
      <c r="GL101" s="119"/>
      <c r="GM101" s="119"/>
      <c r="GN101" s="119"/>
      <c r="GO101" s="119"/>
      <c r="GP101" s="119"/>
      <c r="GQ101" s="119"/>
      <c r="GR101" s="119"/>
      <c r="GS101" s="119"/>
      <c r="GT101" s="119"/>
      <c r="GU101" s="119"/>
      <c r="GV101" s="119"/>
      <c r="GW101" s="119"/>
      <c r="GX101" s="119"/>
      <c r="GY101" s="119"/>
      <c r="GZ101" s="119"/>
      <c r="HA101" s="119"/>
      <c r="HB101" s="119"/>
      <c r="HC101" s="119"/>
      <c r="HD101" s="119"/>
      <c r="HE101" s="119"/>
      <c r="HF101" s="119"/>
      <c r="HG101" s="119"/>
      <c r="HH101" s="119"/>
      <c r="HI101" s="119"/>
      <c r="HJ101" s="119"/>
      <c r="HK101" s="119"/>
      <c r="HL101" s="119"/>
      <c r="HM101" s="119"/>
      <c r="HN101" s="119"/>
      <c r="HO101" s="119"/>
      <c r="HP101" s="119"/>
      <c r="HQ101" s="119"/>
      <c r="HR101" s="119"/>
      <c r="HS101" s="119"/>
      <c r="HT101" s="119"/>
      <c r="HU101" s="119"/>
      <c r="HV101" s="119"/>
      <c r="HW101" s="119"/>
      <c r="HX101" s="119"/>
      <c r="HY101" s="119"/>
      <c r="HZ101" s="119"/>
      <c r="IA101" s="119"/>
      <c r="IB101" s="119"/>
      <c r="IC101" s="119"/>
      <c r="ID101" s="119"/>
      <c r="IE101" s="119"/>
      <c r="IF101" s="119"/>
      <c r="IG101" s="119"/>
      <c r="IH101" s="119"/>
      <c r="II101" s="119"/>
      <c r="IJ101" s="119"/>
      <c r="IK101" s="119"/>
      <c r="IL101" s="119"/>
      <c r="IM101" s="119"/>
      <c r="IN101" s="119"/>
      <c r="IO101" s="119"/>
      <c r="IP101" s="119"/>
      <c r="IQ101" s="119"/>
      <c r="IR101" s="119"/>
      <c r="IS101" s="119"/>
      <c r="IT101" s="119"/>
      <c r="IU101" s="119"/>
      <c r="IV101" s="119"/>
      <c r="IW101" s="119"/>
    </row>
    <row r="102" spans="1:257" s="187" customFormat="1" ht="18" customHeight="1" x14ac:dyDescent="0.35">
      <c r="A102" s="195">
        <v>93</v>
      </c>
      <c r="B102" s="273"/>
      <c r="C102" s="548"/>
      <c r="D102" s="237" t="s">
        <v>245</v>
      </c>
      <c r="E102" s="238"/>
      <c r="F102" s="238"/>
      <c r="G102" s="576"/>
      <c r="H102" s="240"/>
      <c r="I102" s="549"/>
      <c r="J102" s="549"/>
      <c r="K102" s="549">
        <v>19296</v>
      </c>
      <c r="L102" s="549"/>
      <c r="M102" s="549"/>
      <c r="N102" s="577"/>
      <c r="O102" s="1782"/>
      <c r="P102" s="236">
        <f>SUM(I102:N102)</f>
        <v>19296</v>
      </c>
      <c r="Q102" s="1246"/>
      <c r="R102" s="119"/>
      <c r="S102" s="119"/>
      <c r="T102" s="119"/>
      <c r="U102" s="119"/>
      <c r="V102" s="119"/>
      <c r="W102" s="119"/>
      <c r="X102" s="119"/>
      <c r="Y102" s="119"/>
      <c r="Z102" s="119"/>
      <c r="AA102" s="119"/>
      <c r="AB102" s="119"/>
      <c r="AC102" s="119"/>
      <c r="AD102" s="119"/>
      <c r="AE102" s="119"/>
      <c r="AF102" s="119"/>
      <c r="AG102" s="119"/>
      <c r="AH102" s="119"/>
      <c r="AI102" s="119"/>
      <c r="AJ102" s="119"/>
      <c r="AK102" s="119"/>
      <c r="AL102" s="119"/>
      <c r="AM102" s="119"/>
      <c r="AN102" s="119"/>
      <c r="AO102" s="119"/>
      <c r="AP102" s="119"/>
      <c r="AQ102" s="119"/>
      <c r="AR102" s="119"/>
      <c r="AS102" s="119"/>
      <c r="AT102" s="119"/>
      <c r="AU102" s="119"/>
      <c r="AV102" s="119"/>
      <c r="AW102" s="119"/>
      <c r="AX102" s="119"/>
      <c r="AY102" s="119"/>
      <c r="AZ102" s="119"/>
      <c r="BA102" s="119"/>
      <c r="BB102" s="119"/>
      <c r="BC102" s="119"/>
      <c r="BD102" s="119"/>
      <c r="BE102" s="119"/>
      <c r="BF102" s="119"/>
      <c r="BG102" s="119"/>
      <c r="BH102" s="119"/>
      <c r="BI102" s="119"/>
      <c r="BJ102" s="119"/>
      <c r="BK102" s="119"/>
      <c r="BL102" s="119"/>
      <c r="BM102" s="119"/>
      <c r="BN102" s="119"/>
      <c r="BO102" s="119"/>
      <c r="BP102" s="119"/>
      <c r="BQ102" s="119"/>
      <c r="BR102" s="119"/>
      <c r="BS102" s="119"/>
      <c r="BT102" s="119"/>
      <c r="BU102" s="119"/>
      <c r="BV102" s="119"/>
      <c r="BW102" s="119"/>
      <c r="BX102" s="119"/>
      <c r="BY102" s="119"/>
      <c r="BZ102" s="119"/>
      <c r="CA102" s="119"/>
      <c r="CB102" s="119"/>
      <c r="CC102" s="119"/>
      <c r="CD102" s="119"/>
      <c r="CE102" s="119"/>
      <c r="CF102" s="119"/>
      <c r="CG102" s="119"/>
      <c r="CH102" s="119"/>
      <c r="CI102" s="119"/>
      <c r="CJ102" s="119"/>
      <c r="CK102" s="119"/>
      <c r="CL102" s="119"/>
      <c r="CM102" s="119"/>
      <c r="CN102" s="119"/>
      <c r="CO102" s="119"/>
      <c r="CP102" s="119"/>
      <c r="CQ102" s="119"/>
      <c r="CR102" s="119"/>
      <c r="CS102" s="119"/>
      <c r="CT102" s="119"/>
      <c r="CU102" s="119"/>
      <c r="CV102" s="119"/>
      <c r="CW102" s="119"/>
      <c r="CX102" s="119"/>
      <c r="CY102" s="119"/>
      <c r="CZ102" s="119"/>
      <c r="DA102" s="119"/>
      <c r="DB102" s="119"/>
      <c r="DC102" s="119"/>
      <c r="DD102" s="119"/>
      <c r="DE102" s="119"/>
      <c r="DF102" s="119"/>
      <c r="DG102" s="119"/>
      <c r="DH102" s="119"/>
      <c r="DI102" s="119"/>
      <c r="DJ102" s="119"/>
      <c r="DK102" s="119"/>
      <c r="DL102" s="119"/>
      <c r="DM102" s="119"/>
      <c r="DN102" s="119"/>
      <c r="DO102" s="119"/>
      <c r="DP102" s="119"/>
      <c r="DQ102" s="119"/>
      <c r="DR102" s="119"/>
      <c r="DS102" s="119"/>
      <c r="DT102" s="119"/>
      <c r="DU102" s="119"/>
      <c r="DV102" s="119"/>
      <c r="DW102" s="119"/>
      <c r="DX102" s="119"/>
      <c r="DY102" s="119"/>
      <c r="DZ102" s="119"/>
      <c r="EA102" s="119"/>
      <c r="EB102" s="119"/>
      <c r="EC102" s="119"/>
      <c r="ED102" s="119"/>
      <c r="EE102" s="119"/>
      <c r="EF102" s="119"/>
      <c r="EG102" s="119"/>
      <c r="EH102" s="119"/>
      <c r="EI102" s="119"/>
      <c r="EJ102" s="119"/>
      <c r="EK102" s="119"/>
      <c r="EL102" s="119"/>
      <c r="EM102" s="119"/>
      <c r="EN102" s="119"/>
      <c r="EO102" s="119"/>
      <c r="EP102" s="119"/>
      <c r="EQ102" s="119"/>
      <c r="ER102" s="119"/>
      <c r="ES102" s="119"/>
      <c r="ET102" s="119"/>
      <c r="EU102" s="119"/>
      <c r="EV102" s="119"/>
      <c r="EW102" s="119"/>
      <c r="EX102" s="119"/>
      <c r="EY102" s="119"/>
      <c r="EZ102" s="119"/>
      <c r="FA102" s="119"/>
      <c r="FB102" s="119"/>
      <c r="FC102" s="119"/>
      <c r="FD102" s="119"/>
      <c r="FE102" s="119"/>
      <c r="FF102" s="119"/>
      <c r="FG102" s="119"/>
      <c r="FH102" s="119"/>
      <c r="FI102" s="119"/>
      <c r="FJ102" s="119"/>
      <c r="FK102" s="119"/>
      <c r="FL102" s="119"/>
      <c r="FM102" s="119"/>
      <c r="FN102" s="119"/>
      <c r="FO102" s="119"/>
      <c r="FP102" s="119"/>
      <c r="FQ102" s="119"/>
      <c r="FR102" s="119"/>
      <c r="FS102" s="119"/>
      <c r="FT102" s="119"/>
      <c r="FU102" s="119"/>
      <c r="FV102" s="119"/>
      <c r="FW102" s="119"/>
      <c r="FX102" s="119"/>
      <c r="FY102" s="119"/>
      <c r="FZ102" s="119"/>
      <c r="GA102" s="119"/>
      <c r="GB102" s="119"/>
      <c r="GC102" s="119"/>
      <c r="GD102" s="119"/>
      <c r="GE102" s="119"/>
      <c r="GF102" s="119"/>
      <c r="GG102" s="119"/>
      <c r="GH102" s="119"/>
      <c r="GI102" s="119"/>
      <c r="GJ102" s="119"/>
      <c r="GK102" s="119"/>
      <c r="GL102" s="119"/>
      <c r="GM102" s="119"/>
      <c r="GN102" s="119"/>
      <c r="GO102" s="119"/>
      <c r="GP102" s="119"/>
      <c r="GQ102" s="119"/>
      <c r="GR102" s="119"/>
      <c r="GS102" s="119"/>
      <c r="GT102" s="119"/>
      <c r="GU102" s="119"/>
      <c r="GV102" s="119"/>
      <c r="GW102" s="119"/>
      <c r="GX102" s="119"/>
      <c r="GY102" s="119"/>
      <c r="GZ102" s="119"/>
      <c r="HA102" s="119"/>
      <c r="HB102" s="119"/>
      <c r="HC102" s="119"/>
      <c r="HD102" s="119"/>
      <c r="HE102" s="119"/>
      <c r="HF102" s="119"/>
      <c r="HG102" s="119"/>
      <c r="HH102" s="119"/>
      <c r="HI102" s="119"/>
      <c r="HJ102" s="119"/>
      <c r="HK102" s="119"/>
      <c r="HL102" s="119"/>
      <c r="HM102" s="119"/>
      <c r="HN102" s="119"/>
      <c r="HO102" s="119"/>
      <c r="HP102" s="119"/>
      <c r="HQ102" s="119"/>
      <c r="HR102" s="119"/>
      <c r="HS102" s="119"/>
      <c r="HT102" s="119"/>
      <c r="HU102" s="119"/>
      <c r="HV102" s="119"/>
      <c r="HW102" s="119"/>
      <c r="HX102" s="119"/>
      <c r="HY102" s="119"/>
      <c r="HZ102" s="119"/>
      <c r="IA102" s="119"/>
      <c r="IB102" s="119"/>
      <c r="IC102" s="119"/>
      <c r="ID102" s="119"/>
      <c r="IE102" s="119"/>
      <c r="IF102" s="119"/>
      <c r="IG102" s="119"/>
      <c r="IH102" s="119"/>
      <c r="II102" s="119"/>
      <c r="IJ102" s="119"/>
      <c r="IK102" s="119"/>
      <c r="IL102" s="119"/>
      <c r="IM102" s="119"/>
      <c r="IN102" s="119"/>
      <c r="IO102" s="119"/>
      <c r="IP102" s="119"/>
      <c r="IQ102" s="119"/>
      <c r="IR102" s="119"/>
      <c r="IS102" s="119"/>
      <c r="IT102" s="119"/>
      <c r="IU102" s="119"/>
      <c r="IV102" s="119"/>
      <c r="IW102" s="119"/>
    </row>
    <row r="103" spans="1:257" s="187" customFormat="1" ht="18" customHeight="1" x14ac:dyDescent="0.35">
      <c r="A103" s="195">
        <v>94</v>
      </c>
      <c r="B103" s="273"/>
      <c r="C103" s="1424"/>
      <c r="D103" s="1266" t="s">
        <v>808</v>
      </c>
      <c r="E103" s="238"/>
      <c r="F103" s="238"/>
      <c r="G103" s="576"/>
      <c r="H103" s="240"/>
      <c r="I103" s="549"/>
      <c r="J103" s="549"/>
      <c r="K103" s="1270">
        <v>19296</v>
      </c>
      <c r="L103" s="1270"/>
      <c r="M103" s="1270"/>
      <c r="N103" s="1271"/>
      <c r="O103" s="576"/>
      <c r="P103" s="1275">
        <f>SUM(I103:N103)</f>
        <v>19296</v>
      </c>
      <c r="Q103" s="1246"/>
      <c r="R103" s="119"/>
      <c r="S103" s="119"/>
      <c r="T103" s="119"/>
      <c r="U103" s="119"/>
      <c r="V103" s="119"/>
      <c r="W103" s="119"/>
      <c r="X103" s="119"/>
      <c r="Y103" s="119"/>
      <c r="Z103" s="119"/>
      <c r="AA103" s="119"/>
      <c r="AB103" s="119"/>
      <c r="AC103" s="119"/>
      <c r="AD103" s="119"/>
      <c r="AE103" s="119"/>
      <c r="AF103" s="119"/>
      <c r="AG103" s="119"/>
      <c r="AH103" s="119"/>
      <c r="AI103" s="119"/>
      <c r="AJ103" s="119"/>
      <c r="AK103" s="119"/>
      <c r="AL103" s="119"/>
      <c r="AM103" s="119"/>
      <c r="AN103" s="119"/>
      <c r="AO103" s="119"/>
      <c r="AP103" s="119"/>
      <c r="AQ103" s="119"/>
      <c r="AR103" s="119"/>
      <c r="AS103" s="119"/>
      <c r="AT103" s="119"/>
      <c r="AU103" s="119"/>
      <c r="AV103" s="119"/>
      <c r="AW103" s="119"/>
      <c r="AX103" s="119"/>
      <c r="AY103" s="119"/>
      <c r="AZ103" s="119"/>
      <c r="BA103" s="119"/>
      <c r="BB103" s="119"/>
      <c r="BC103" s="119"/>
      <c r="BD103" s="119"/>
      <c r="BE103" s="119"/>
      <c r="BF103" s="119"/>
      <c r="BG103" s="119"/>
      <c r="BH103" s="119"/>
      <c r="BI103" s="119"/>
      <c r="BJ103" s="119"/>
      <c r="BK103" s="119"/>
      <c r="BL103" s="119"/>
      <c r="BM103" s="119"/>
      <c r="BN103" s="119"/>
      <c r="BO103" s="119"/>
      <c r="BP103" s="119"/>
      <c r="BQ103" s="119"/>
      <c r="BR103" s="119"/>
      <c r="BS103" s="119"/>
      <c r="BT103" s="119"/>
      <c r="BU103" s="119"/>
      <c r="BV103" s="119"/>
      <c r="BW103" s="119"/>
      <c r="BX103" s="119"/>
      <c r="BY103" s="119"/>
      <c r="BZ103" s="119"/>
      <c r="CA103" s="119"/>
      <c r="CB103" s="119"/>
      <c r="CC103" s="119"/>
      <c r="CD103" s="119"/>
      <c r="CE103" s="119"/>
      <c r="CF103" s="119"/>
      <c r="CG103" s="119"/>
      <c r="CH103" s="119"/>
      <c r="CI103" s="119"/>
      <c r="CJ103" s="119"/>
      <c r="CK103" s="119"/>
      <c r="CL103" s="119"/>
      <c r="CM103" s="119"/>
      <c r="CN103" s="119"/>
      <c r="CO103" s="119"/>
      <c r="CP103" s="119"/>
      <c r="CQ103" s="119"/>
      <c r="CR103" s="119"/>
      <c r="CS103" s="119"/>
      <c r="CT103" s="119"/>
      <c r="CU103" s="119"/>
      <c r="CV103" s="119"/>
      <c r="CW103" s="119"/>
      <c r="CX103" s="119"/>
      <c r="CY103" s="119"/>
      <c r="CZ103" s="119"/>
      <c r="DA103" s="119"/>
      <c r="DB103" s="119"/>
      <c r="DC103" s="119"/>
      <c r="DD103" s="119"/>
      <c r="DE103" s="119"/>
      <c r="DF103" s="119"/>
      <c r="DG103" s="119"/>
      <c r="DH103" s="119"/>
      <c r="DI103" s="119"/>
      <c r="DJ103" s="119"/>
      <c r="DK103" s="119"/>
      <c r="DL103" s="119"/>
      <c r="DM103" s="119"/>
      <c r="DN103" s="119"/>
      <c r="DO103" s="119"/>
      <c r="DP103" s="119"/>
      <c r="DQ103" s="119"/>
      <c r="DR103" s="119"/>
      <c r="DS103" s="119"/>
      <c r="DT103" s="119"/>
      <c r="DU103" s="119"/>
      <c r="DV103" s="119"/>
      <c r="DW103" s="119"/>
      <c r="DX103" s="119"/>
      <c r="DY103" s="119"/>
      <c r="DZ103" s="119"/>
      <c r="EA103" s="119"/>
      <c r="EB103" s="119"/>
      <c r="EC103" s="119"/>
      <c r="ED103" s="119"/>
      <c r="EE103" s="119"/>
      <c r="EF103" s="119"/>
      <c r="EG103" s="119"/>
      <c r="EH103" s="119"/>
      <c r="EI103" s="119"/>
      <c r="EJ103" s="119"/>
      <c r="EK103" s="119"/>
      <c r="EL103" s="119"/>
      <c r="EM103" s="119"/>
      <c r="EN103" s="119"/>
      <c r="EO103" s="119"/>
      <c r="EP103" s="119"/>
      <c r="EQ103" s="119"/>
      <c r="ER103" s="119"/>
      <c r="ES103" s="119"/>
      <c r="ET103" s="119"/>
      <c r="EU103" s="119"/>
      <c r="EV103" s="119"/>
      <c r="EW103" s="119"/>
      <c r="EX103" s="119"/>
      <c r="EY103" s="119"/>
      <c r="EZ103" s="119"/>
      <c r="FA103" s="119"/>
      <c r="FB103" s="119"/>
      <c r="FC103" s="119"/>
      <c r="FD103" s="119"/>
      <c r="FE103" s="119"/>
      <c r="FF103" s="119"/>
      <c r="FG103" s="119"/>
      <c r="FH103" s="119"/>
      <c r="FI103" s="119"/>
      <c r="FJ103" s="119"/>
      <c r="FK103" s="119"/>
      <c r="FL103" s="119"/>
      <c r="FM103" s="119"/>
      <c r="FN103" s="119"/>
      <c r="FO103" s="119"/>
      <c r="FP103" s="119"/>
      <c r="FQ103" s="119"/>
      <c r="FR103" s="119"/>
      <c r="FS103" s="119"/>
      <c r="FT103" s="119"/>
      <c r="FU103" s="119"/>
      <c r="FV103" s="119"/>
      <c r="FW103" s="119"/>
      <c r="FX103" s="119"/>
      <c r="FY103" s="119"/>
      <c r="FZ103" s="119"/>
      <c r="GA103" s="119"/>
      <c r="GB103" s="119"/>
      <c r="GC103" s="119"/>
      <c r="GD103" s="119"/>
      <c r="GE103" s="119"/>
      <c r="GF103" s="119"/>
      <c r="GG103" s="119"/>
      <c r="GH103" s="119"/>
      <c r="GI103" s="119"/>
      <c r="GJ103" s="119"/>
      <c r="GK103" s="119"/>
      <c r="GL103" s="119"/>
      <c r="GM103" s="119"/>
      <c r="GN103" s="119"/>
      <c r="GO103" s="119"/>
      <c r="GP103" s="119"/>
      <c r="GQ103" s="119"/>
      <c r="GR103" s="119"/>
      <c r="GS103" s="119"/>
      <c r="GT103" s="119"/>
      <c r="GU103" s="119"/>
      <c r="GV103" s="119"/>
      <c r="GW103" s="119"/>
      <c r="GX103" s="119"/>
      <c r="GY103" s="119"/>
      <c r="GZ103" s="119"/>
      <c r="HA103" s="119"/>
      <c r="HB103" s="119"/>
      <c r="HC103" s="119"/>
      <c r="HD103" s="119"/>
      <c r="HE103" s="119"/>
      <c r="HF103" s="119"/>
      <c r="HG103" s="119"/>
      <c r="HH103" s="119"/>
      <c r="HI103" s="119"/>
      <c r="HJ103" s="119"/>
      <c r="HK103" s="119"/>
      <c r="HL103" s="119"/>
      <c r="HM103" s="119"/>
      <c r="HN103" s="119"/>
      <c r="HO103" s="119"/>
      <c r="HP103" s="119"/>
      <c r="HQ103" s="119"/>
      <c r="HR103" s="119"/>
      <c r="HS103" s="119"/>
      <c r="HT103" s="119"/>
      <c r="HU103" s="119"/>
      <c r="HV103" s="119"/>
      <c r="HW103" s="119"/>
      <c r="HX103" s="119"/>
      <c r="HY103" s="119"/>
      <c r="HZ103" s="119"/>
      <c r="IA103" s="119"/>
      <c r="IB103" s="119"/>
      <c r="IC103" s="119"/>
      <c r="ID103" s="119"/>
      <c r="IE103" s="119"/>
      <c r="IF103" s="119"/>
      <c r="IG103" s="119"/>
      <c r="IH103" s="119"/>
      <c r="II103" s="119"/>
      <c r="IJ103" s="119"/>
      <c r="IK103" s="119"/>
      <c r="IL103" s="119"/>
      <c r="IM103" s="119"/>
      <c r="IN103" s="119"/>
      <c r="IO103" s="119"/>
      <c r="IP103" s="119"/>
      <c r="IQ103" s="119"/>
      <c r="IR103" s="119"/>
      <c r="IS103" s="119"/>
      <c r="IT103" s="119"/>
      <c r="IU103" s="119"/>
      <c r="IV103" s="119"/>
      <c r="IW103" s="119"/>
    </row>
    <row r="104" spans="1:257" s="187" customFormat="1" ht="18" customHeight="1" x14ac:dyDescent="0.35">
      <c r="A104" s="195">
        <v>95</v>
      </c>
      <c r="B104" s="192"/>
      <c r="C104" s="1249"/>
      <c r="D104" s="1265" t="s">
        <v>656</v>
      </c>
      <c r="E104" s="127"/>
      <c r="F104" s="127"/>
      <c r="G104" s="693"/>
      <c r="H104" s="224"/>
      <c r="I104" s="1282"/>
      <c r="J104" s="1282"/>
      <c r="K104" s="1282"/>
      <c r="L104" s="1282"/>
      <c r="M104" s="1282"/>
      <c r="N104" s="1282"/>
      <c r="O104" s="1781"/>
      <c r="P104" s="1276">
        <f t="shared" ref="P104:P109" si="26">SUM(I104:N104)</f>
        <v>0</v>
      </c>
      <c r="Q104" s="694"/>
      <c r="R104" s="119"/>
      <c r="S104" s="119"/>
      <c r="T104" s="119"/>
      <c r="U104" s="119"/>
      <c r="V104" s="119"/>
      <c r="W104" s="119"/>
      <c r="X104" s="119"/>
      <c r="Y104" s="119"/>
      <c r="Z104" s="119"/>
      <c r="AA104" s="119"/>
      <c r="AB104" s="119"/>
      <c r="AC104" s="119"/>
      <c r="AD104" s="119"/>
      <c r="AE104" s="119"/>
      <c r="AF104" s="119"/>
      <c r="AG104" s="119"/>
      <c r="AH104" s="119"/>
      <c r="AI104" s="119"/>
      <c r="AJ104" s="119"/>
      <c r="AK104" s="119"/>
      <c r="AL104" s="119"/>
      <c r="AM104" s="119"/>
      <c r="AN104" s="119"/>
      <c r="AO104" s="119"/>
      <c r="AP104" s="119"/>
      <c r="AQ104" s="119"/>
      <c r="AR104" s="119"/>
      <c r="AS104" s="119"/>
      <c r="AT104" s="119"/>
      <c r="AU104" s="119"/>
      <c r="AV104" s="119"/>
      <c r="AW104" s="119"/>
      <c r="AX104" s="119"/>
      <c r="AY104" s="119"/>
      <c r="AZ104" s="119"/>
      <c r="BA104" s="119"/>
      <c r="BB104" s="119"/>
      <c r="BC104" s="119"/>
      <c r="BD104" s="119"/>
      <c r="BE104" s="119"/>
      <c r="BF104" s="119"/>
      <c r="BG104" s="119"/>
      <c r="BH104" s="119"/>
      <c r="BI104" s="119"/>
      <c r="BJ104" s="119"/>
      <c r="BK104" s="119"/>
      <c r="BL104" s="119"/>
      <c r="BM104" s="119"/>
      <c r="BN104" s="119"/>
      <c r="BO104" s="119"/>
      <c r="BP104" s="119"/>
      <c r="BQ104" s="119"/>
      <c r="BR104" s="119"/>
      <c r="BS104" s="119"/>
      <c r="BT104" s="119"/>
      <c r="BU104" s="119"/>
      <c r="BV104" s="119"/>
      <c r="BW104" s="119"/>
      <c r="BX104" s="119"/>
      <c r="BY104" s="119"/>
      <c r="BZ104" s="119"/>
      <c r="CA104" s="119"/>
      <c r="CB104" s="119"/>
      <c r="CC104" s="119"/>
      <c r="CD104" s="119"/>
      <c r="CE104" s="119"/>
      <c r="CF104" s="119"/>
      <c r="CG104" s="119"/>
      <c r="CH104" s="119"/>
      <c r="CI104" s="119"/>
      <c r="CJ104" s="119"/>
      <c r="CK104" s="119"/>
      <c r="CL104" s="119"/>
      <c r="CM104" s="119"/>
      <c r="CN104" s="119"/>
      <c r="CO104" s="119"/>
      <c r="CP104" s="119"/>
      <c r="CQ104" s="119"/>
      <c r="CR104" s="119"/>
      <c r="CS104" s="119"/>
      <c r="CT104" s="119"/>
      <c r="CU104" s="119"/>
      <c r="CV104" s="119"/>
      <c r="CW104" s="119"/>
      <c r="CX104" s="119"/>
      <c r="CY104" s="119"/>
      <c r="CZ104" s="119"/>
      <c r="DA104" s="119"/>
      <c r="DB104" s="119"/>
      <c r="DC104" s="119"/>
      <c r="DD104" s="119"/>
      <c r="DE104" s="119"/>
      <c r="DF104" s="119"/>
      <c r="DG104" s="119"/>
      <c r="DH104" s="119"/>
      <c r="DI104" s="119"/>
      <c r="DJ104" s="119"/>
      <c r="DK104" s="119"/>
      <c r="DL104" s="119"/>
      <c r="DM104" s="119"/>
      <c r="DN104" s="119"/>
      <c r="DO104" s="119"/>
      <c r="DP104" s="119"/>
      <c r="DQ104" s="119"/>
      <c r="DR104" s="119"/>
      <c r="DS104" s="119"/>
      <c r="DT104" s="119"/>
      <c r="DU104" s="119"/>
      <c r="DV104" s="119"/>
      <c r="DW104" s="119"/>
      <c r="DX104" s="119"/>
      <c r="DY104" s="119"/>
      <c r="DZ104" s="119"/>
      <c r="EA104" s="119"/>
      <c r="EB104" s="119"/>
      <c r="EC104" s="119"/>
      <c r="ED104" s="119"/>
      <c r="EE104" s="119"/>
      <c r="EF104" s="119"/>
      <c r="EG104" s="119"/>
      <c r="EH104" s="119"/>
      <c r="EI104" s="119"/>
      <c r="EJ104" s="119"/>
      <c r="EK104" s="119"/>
      <c r="EL104" s="119"/>
      <c r="EM104" s="119"/>
      <c r="EN104" s="119"/>
      <c r="EO104" s="119"/>
      <c r="EP104" s="119"/>
      <c r="EQ104" s="119"/>
      <c r="ER104" s="119"/>
      <c r="ES104" s="119"/>
      <c r="ET104" s="119"/>
      <c r="EU104" s="119"/>
      <c r="EV104" s="119"/>
      <c r="EW104" s="119"/>
      <c r="EX104" s="119"/>
      <c r="EY104" s="119"/>
      <c r="EZ104" s="119"/>
      <c r="FA104" s="119"/>
      <c r="FB104" s="119"/>
      <c r="FC104" s="119"/>
      <c r="FD104" s="119"/>
      <c r="FE104" s="119"/>
      <c r="FF104" s="119"/>
      <c r="FG104" s="119"/>
      <c r="FH104" s="119"/>
      <c r="FI104" s="119"/>
      <c r="FJ104" s="119"/>
      <c r="FK104" s="119"/>
      <c r="FL104" s="119"/>
      <c r="FM104" s="119"/>
      <c r="FN104" s="119"/>
      <c r="FO104" s="119"/>
      <c r="FP104" s="119"/>
      <c r="FQ104" s="119"/>
      <c r="FR104" s="119"/>
      <c r="FS104" s="119"/>
      <c r="FT104" s="119"/>
      <c r="FU104" s="119"/>
      <c r="FV104" s="119"/>
      <c r="FW104" s="119"/>
      <c r="FX104" s="119"/>
      <c r="FY104" s="119"/>
      <c r="FZ104" s="119"/>
      <c r="GA104" s="119"/>
      <c r="GB104" s="119"/>
      <c r="GC104" s="119"/>
      <c r="GD104" s="119"/>
      <c r="GE104" s="119"/>
      <c r="GF104" s="119"/>
      <c r="GG104" s="119"/>
      <c r="GH104" s="119"/>
      <c r="GI104" s="119"/>
      <c r="GJ104" s="119"/>
      <c r="GK104" s="119"/>
      <c r="GL104" s="119"/>
      <c r="GM104" s="119"/>
      <c r="GN104" s="119"/>
      <c r="GO104" s="119"/>
      <c r="GP104" s="119"/>
      <c r="GQ104" s="119"/>
      <c r="GR104" s="119"/>
      <c r="GS104" s="119"/>
      <c r="GT104" s="119"/>
      <c r="GU104" s="119"/>
      <c r="GV104" s="119"/>
      <c r="GW104" s="119"/>
      <c r="GX104" s="119"/>
      <c r="GY104" s="119"/>
      <c r="GZ104" s="119"/>
      <c r="HA104" s="119"/>
      <c r="HB104" s="119"/>
      <c r="HC104" s="119"/>
      <c r="HD104" s="119"/>
      <c r="HE104" s="119"/>
      <c r="HF104" s="119"/>
      <c r="HG104" s="119"/>
      <c r="HH104" s="119"/>
      <c r="HI104" s="119"/>
      <c r="HJ104" s="119"/>
      <c r="HK104" s="119"/>
      <c r="HL104" s="119"/>
      <c r="HM104" s="119"/>
      <c r="HN104" s="119"/>
      <c r="HO104" s="119"/>
      <c r="HP104" s="119"/>
      <c r="HQ104" s="119"/>
      <c r="HR104" s="119"/>
      <c r="HS104" s="119"/>
      <c r="HT104" s="119"/>
      <c r="HU104" s="119"/>
      <c r="HV104" s="119"/>
      <c r="HW104" s="119"/>
      <c r="HX104" s="119"/>
      <c r="HY104" s="119"/>
      <c r="HZ104" s="119"/>
      <c r="IA104" s="119"/>
      <c r="IB104" s="119"/>
      <c r="IC104" s="119"/>
      <c r="ID104" s="119"/>
      <c r="IE104" s="119"/>
      <c r="IF104" s="119"/>
      <c r="IG104" s="119"/>
      <c r="IH104" s="119"/>
      <c r="II104" s="119"/>
      <c r="IJ104" s="119"/>
      <c r="IK104" s="119"/>
      <c r="IL104" s="119"/>
      <c r="IM104" s="119"/>
      <c r="IN104" s="119"/>
      <c r="IO104" s="119"/>
      <c r="IP104" s="119"/>
      <c r="IQ104" s="119"/>
      <c r="IR104" s="119"/>
      <c r="IS104" s="119"/>
      <c r="IT104" s="119"/>
      <c r="IU104" s="119"/>
      <c r="IV104" s="119"/>
      <c r="IW104" s="119"/>
    </row>
    <row r="105" spans="1:257" s="187" customFormat="1" ht="18" customHeight="1" x14ac:dyDescent="0.35">
      <c r="A105" s="195">
        <v>96</v>
      </c>
      <c r="B105" s="1267"/>
      <c r="C105" s="1248"/>
      <c r="D105" s="1268" t="s">
        <v>862</v>
      </c>
      <c r="E105" s="207"/>
      <c r="F105" s="238"/>
      <c r="G105" s="207"/>
      <c r="H105" s="560"/>
      <c r="I105" s="1489"/>
      <c r="J105" s="1489"/>
      <c r="K105" s="1489">
        <f>SUM(K103:K104)</f>
        <v>19296</v>
      </c>
      <c r="L105" s="1489"/>
      <c r="M105" s="1489"/>
      <c r="N105" s="1490"/>
      <c r="O105" s="207"/>
      <c r="P105" s="1275">
        <f t="shared" si="26"/>
        <v>19296</v>
      </c>
      <c r="Q105" s="1491"/>
      <c r="R105" s="119"/>
      <c r="S105" s="119"/>
      <c r="T105" s="119"/>
      <c r="U105" s="119"/>
      <c r="V105" s="119"/>
      <c r="W105" s="119"/>
      <c r="X105" s="119"/>
      <c r="Y105" s="119"/>
      <c r="Z105" s="119"/>
      <c r="AA105" s="119"/>
      <c r="AB105" s="119"/>
      <c r="AC105" s="119"/>
      <c r="AD105" s="119"/>
      <c r="AE105" s="119"/>
      <c r="AF105" s="119"/>
      <c r="AG105" s="119"/>
      <c r="AH105" s="119"/>
      <c r="AI105" s="119"/>
      <c r="AJ105" s="119"/>
      <c r="AK105" s="119"/>
      <c r="AL105" s="119"/>
      <c r="AM105" s="119"/>
      <c r="AN105" s="119"/>
      <c r="AO105" s="119"/>
      <c r="AP105" s="119"/>
      <c r="AQ105" s="119"/>
      <c r="AR105" s="119"/>
      <c r="AS105" s="119"/>
      <c r="AT105" s="119"/>
      <c r="AU105" s="119"/>
      <c r="AV105" s="119"/>
      <c r="AW105" s="119"/>
      <c r="AX105" s="119"/>
      <c r="AY105" s="119"/>
      <c r="AZ105" s="119"/>
      <c r="BA105" s="119"/>
      <c r="BB105" s="119"/>
      <c r="BC105" s="119"/>
      <c r="BD105" s="119"/>
      <c r="BE105" s="119"/>
      <c r="BF105" s="119"/>
      <c r="BG105" s="119"/>
      <c r="BH105" s="119"/>
      <c r="BI105" s="119"/>
      <c r="BJ105" s="119"/>
      <c r="BK105" s="119"/>
      <c r="BL105" s="119"/>
      <c r="BM105" s="119"/>
      <c r="BN105" s="119"/>
      <c r="BO105" s="119"/>
      <c r="BP105" s="119"/>
      <c r="BQ105" s="119"/>
      <c r="BR105" s="119"/>
      <c r="BS105" s="119"/>
      <c r="BT105" s="119"/>
      <c r="BU105" s="119"/>
      <c r="BV105" s="119"/>
      <c r="BW105" s="119"/>
      <c r="BX105" s="119"/>
      <c r="BY105" s="119"/>
      <c r="BZ105" s="119"/>
      <c r="CA105" s="119"/>
      <c r="CB105" s="119"/>
      <c r="CC105" s="119"/>
      <c r="CD105" s="119"/>
      <c r="CE105" s="119"/>
      <c r="CF105" s="119"/>
      <c r="CG105" s="119"/>
      <c r="CH105" s="119"/>
      <c r="CI105" s="119"/>
      <c r="CJ105" s="119"/>
      <c r="CK105" s="119"/>
      <c r="CL105" s="119"/>
      <c r="CM105" s="119"/>
      <c r="CN105" s="119"/>
      <c r="CO105" s="119"/>
      <c r="CP105" s="119"/>
      <c r="CQ105" s="119"/>
      <c r="CR105" s="119"/>
      <c r="CS105" s="119"/>
      <c r="CT105" s="119"/>
      <c r="CU105" s="119"/>
      <c r="CV105" s="119"/>
      <c r="CW105" s="119"/>
      <c r="CX105" s="119"/>
      <c r="CY105" s="119"/>
      <c r="CZ105" s="119"/>
      <c r="DA105" s="119"/>
      <c r="DB105" s="119"/>
      <c r="DC105" s="119"/>
      <c r="DD105" s="119"/>
      <c r="DE105" s="119"/>
      <c r="DF105" s="119"/>
      <c r="DG105" s="119"/>
      <c r="DH105" s="119"/>
      <c r="DI105" s="119"/>
      <c r="DJ105" s="119"/>
      <c r="DK105" s="119"/>
      <c r="DL105" s="119"/>
      <c r="DM105" s="119"/>
      <c r="DN105" s="119"/>
      <c r="DO105" s="119"/>
      <c r="DP105" s="119"/>
      <c r="DQ105" s="119"/>
      <c r="DR105" s="119"/>
      <c r="DS105" s="119"/>
      <c r="DT105" s="119"/>
      <c r="DU105" s="119"/>
      <c r="DV105" s="119"/>
      <c r="DW105" s="119"/>
      <c r="DX105" s="119"/>
      <c r="DY105" s="119"/>
      <c r="DZ105" s="119"/>
      <c r="EA105" s="119"/>
      <c r="EB105" s="119"/>
      <c r="EC105" s="119"/>
      <c r="ED105" s="119"/>
      <c r="EE105" s="119"/>
      <c r="EF105" s="119"/>
      <c r="EG105" s="119"/>
      <c r="EH105" s="119"/>
      <c r="EI105" s="119"/>
      <c r="EJ105" s="119"/>
      <c r="EK105" s="119"/>
      <c r="EL105" s="119"/>
      <c r="EM105" s="119"/>
      <c r="EN105" s="119"/>
      <c r="EO105" s="119"/>
      <c r="EP105" s="119"/>
      <c r="EQ105" s="119"/>
      <c r="ER105" s="119"/>
      <c r="ES105" s="119"/>
      <c r="ET105" s="119"/>
      <c r="EU105" s="119"/>
      <c r="EV105" s="119"/>
      <c r="EW105" s="119"/>
      <c r="EX105" s="119"/>
      <c r="EY105" s="119"/>
      <c r="EZ105" s="119"/>
      <c r="FA105" s="119"/>
      <c r="FB105" s="119"/>
      <c r="FC105" s="119"/>
      <c r="FD105" s="119"/>
      <c r="FE105" s="119"/>
      <c r="FF105" s="119"/>
      <c r="FG105" s="119"/>
      <c r="FH105" s="119"/>
      <c r="FI105" s="119"/>
      <c r="FJ105" s="119"/>
      <c r="FK105" s="119"/>
      <c r="FL105" s="119"/>
      <c r="FM105" s="119"/>
      <c r="FN105" s="119"/>
      <c r="FO105" s="119"/>
      <c r="FP105" s="119"/>
      <c r="FQ105" s="119"/>
      <c r="FR105" s="119"/>
      <c r="FS105" s="119"/>
      <c r="FT105" s="119"/>
      <c r="FU105" s="119"/>
      <c r="FV105" s="119"/>
      <c r="FW105" s="119"/>
      <c r="FX105" s="119"/>
      <c r="FY105" s="119"/>
      <c r="FZ105" s="119"/>
      <c r="GA105" s="119"/>
      <c r="GB105" s="119"/>
      <c r="GC105" s="119"/>
      <c r="GD105" s="119"/>
      <c r="GE105" s="119"/>
      <c r="GF105" s="119"/>
      <c r="GG105" s="119"/>
      <c r="GH105" s="119"/>
      <c r="GI105" s="119"/>
      <c r="GJ105" s="119"/>
      <c r="GK105" s="119"/>
      <c r="GL105" s="119"/>
      <c r="GM105" s="119"/>
      <c r="GN105" s="119"/>
      <c r="GO105" s="119"/>
      <c r="GP105" s="119"/>
      <c r="GQ105" s="119"/>
      <c r="GR105" s="119"/>
      <c r="GS105" s="119"/>
      <c r="GT105" s="119"/>
      <c r="GU105" s="119"/>
      <c r="GV105" s="119"/>
      <c r="GW105" s="119"/>
      <c r="GX105" s="119"/>
      <c r="GY105" s="119"/>
      <c r="GZ105" s="119"/>
      <c r="HA105" s="119"/>
      <c r="HB105" s="119"/>
      <c r="HC105" s="119"/>
      <c r="HD105" s="119"/>
      <c r="HE105" s="119"/>
      <c r="HF105" s="119"/>
      <c r="HG105" s="119"/>
      <c r="HH105" s="119"/>
      <c r="HI105" s="119"/>
      <c r="HJ105" s="119"/>
      <c r="HK105" s="119"/>
      <c r="HL105" s="119"/>
      <c r="HM105" s="119"/>
      <c r="HN105" s="119"/>
      <c r="HO105" s="119"/>
      <c r="HP105" s="119"/>
      <c r="HQ105" s="119"/>
      <c r="HR105" s="119"/>
      <c r="HS105" s="119"/>
      <c r="HT105" s="119"/>
      <c r="HU105" s="119"/>
      <c r="HV105" s="119"/>
      <c r="HW105" s="119"/>
      <c r="HX105" s="119"/>
      <c r="HY105" s="119"/>
      <c r="HZ105" s="119"/>
      <c r="IA105" s="119"/>
      <c r="IB105" s="119"/>
      <c r="IC105" s="119"/>
      <c r="ID105" s="119"/>
      <c r="IE105" s="119"/>
      <c r="IF105" s="119"/>
      <c r="IG105" s="119"/>
      <c r="IH105" s="119"/>
      <c r="II105" s="119"/>
      <c r="IJ105" s="119"/>
      <c r="IK105" s="119"/>
      <c r="IL105" s="119"/>
      <c r="IM105" s="119"/>
      <c r="IN105" s="119"/>
      <c r="IO105" s="119"/>
      <c r="IP105" s="119"/>
      <c r="IQ105" s="119"/>
      <c r="IR105" s="119"/>
      <c r="IS105" s="119"/>
      <c r="IT105" s="119"/>
      <c r="IU105" s="119"/>
      <c r="IV105" s="119"/>
      <c r="IW105" s="119"/>
    </row>
    <row r="106" spans="1:257" s="187" customFormat="1" ht="22.5" customHeight="1" x14ac:dyDescent="0.35">
      <c r="A106" s="195">
        <v>97</v>
      </c>
      <c r="B106" s="692"/>
      <c r="C106" s="120">
        <v>36</v>
      </c>
      <c r="D106" s="121" t="s">
        <v>849</v>
      </c>
      <c r="E106" s="127">
        <f>F106+G106+P109</f>
        <v>5000</v>
      </c>
      <c r="F106" s="127"/>
      <c r="G106" s="693"/>
      <c r="H106" s="224" t="s">
        <v>24</v>
      </c>
      <c r="I106" s="559"/>
      <c r="J106" s="559"/>
      <c r="K106" s="559"/>
      <c r="L106" s="559"/>
      <c r="M106" s="559"/>
      <c r="N106" s="1284"/>
      <c r="O106" s="693"/>
      <c r="P106" s="1272"/>
      <c r="Q106" s="694"/>
      <c r="R106" s="119"/>
      <c r="S106" s="119"/>
      <c r="T106" s="119"/>
      <c r="U106" s="119"/>
      <c r="V106" s="119"/>
      <c r="W106" s="119"/>
      <c r="X106" s="119"/>
      <c r="Y106" s="119"/>
      <c r="Z106" s="119"/>
      <c r="AA106" s="119"/>
      <c r="AB106" s="119"/>
      <c r="AC106" s="119"/>
      <c r="AD106" s="119"/>
      <c r="AE106" s="119"/>
      <c r="AF106" s="119"/>
      <c r="AG106" s="119"/>
      <c r="AH106" s="119"/>
      <c r="AI106" s="119"/>
      <c r="AJ106" s="119"/>
      <c r="AK106" s="119"/>
      <c r="AL106" s="119"/>
      <c r="AM106" s="119"/>
      <c r="AN106" s="119"/>
      <c r="AO106" s="119"/>
      <c r="AP106" s="119"/>
      <c r="AQ106" s="119"/>
      <c r="AR106" s="119"/>
      <c r="AS106" s="119"/>
      <c r="AT106" s="119"/>
      <c r="AU106" s="119"/>
      <c r="AV106" s="119"/>
      <c r="AW106" s="119"/>
      <c r="AX106" s="119"/>
      <c r="AY106" s="119"/>
      <c r="AZ106" s="119"/>
      <c r="BA106" s="119"/>
      <c r="BB106" s="119"/>
      <c r="BC106" s="119"/>
      <c r="BD106" s="119"/>
      <c r="BE106" s="119"/>
      <c r="BF106" s="119"/>
      <c r="BG106" s="119"/>
      <c r="BH106" s="119"/>
      <c r="BI106" s="119"/>
      <c r="BJ106" s="119"/>
      <c r="BK106" s="119"/>
      <c r="BL106" s="119"/>
      <c r="BM106" s="119"/>
      <c r="BN106" s="119"/>
      <c r="BO106" s="119"/>
      <c r="BP106" s="119"/>
      <c r="BQ106" s="119"/>
      <c r="BR106" s="119"/>
      <c r="BS106" s="119"/>
      <c r="BT106" s="119"/>
      <c r="BU106" s="119"/>
      <c r="BV106" s="119"/>
      <c r="BW106" s="119"/>
      <c r="BX106" s="119"/>
      <c r="BY106" s="119"/>
      <c r="BZ106" s="119"/>
      <c r="CA106" s="119"/>
      <c r="CB106" s="119"/>
      <c r="CC106" s="119"/>
      <c r="CD106" s="119"/>
      <c r="CE106" s="119"/>
      <c r="CF106" s="119"/>
      <c r="CG106" s="119"/>
      <c r="CH106" s="119"/>
      <c r="CI106" s="119"/>
      <c r="CJ106" s="119"/>
      <c r="CK106" s="119"/>
      <c r="CL106" s="119"/>
      <c r="CM106" s="119"/>
      <c r="CN106" s="119"/>
      <c r="CO106" s="119"/>
      <c r="CP106" s="119"/>
      <c r="CQ106" s="119"/>
      <c r="CR106" s="119"/>
      <c r="CS106" s="119"/>
      <c r="CT106" s="119"/>
      <c r="CU106" s="119"/>
      <c r="CV106" s="119"/>
      <c r="CW106" s="119"/>
      <c r="CX106" s="119"/>
      <c r="CY106" s="119"/>
      <c r="CZ106" s="119"/>
      <c r="DA106" s="119"/>
      <c r="DB106" s="119"/>
      <c r="DC106" s="119"/>
      <c r="DD106" s="119"/>
      <c r="DE106" s="119"/>
      <c r="DF106" s="119"/>
      <c r="DG106" s="119"/>
      <c r="DH106" s="119"/>
      <c r="DI106" s="119"/>
      <c r="DJ106" s="119"/>
      <c r="DK106" s="119"/>
      <c r="DL106" s="119"/>
      <c r="DM106" s="119"/>
      <c r="DN106" s="119"/>
      <c r="DO106" s="119"/>
      <c r="DP106" s="119"/>
      <c r="DQ106" s="119"/>
      <c r="DR106" s="119"/>
      <c r="DS106" s="119"/>
      <c r="DT106" s="119"/>
      <c r="DU106" s="119"/>
      <c r="DV106" s="119"/>
      <c r="DW106" s="119"/>
      <c r="DX106" s="119"/>
      <c r="DY106" s="119"/>
      <c r="DZ106" s="119"/>
      <c r="EA106" s="119"/>
      <c r="EB106" s="119"/>
      <c r="EC106" s="119"/>
      <c r="ED106" s="119"/>
      <c r="EE106" s="119"/>
      <c r="EF106" s="119"/>
      <c r="EG106" s="119"/>
      <c r="EH106" s="119"/>
      <c r="EI106" s="119"/>
      <c r="EJ106" s="119"/>
      <c r="EK106" s="119"/>
      <c r="EL106" s="119"/>
      <c r="EM106" s="119"/>
      <c r="EN106" s="119"/>
      <c r="EO106" s="119"/>
      <c r="EP106" s="119"/>
      <c r="EQ106" s="119"/>
      <c r="ER106" s="119"/>
      <c r="ES106" s="119"/>
      <c r="ET106" s="119"/>
      <c r="EU106" s="119"/>
      <c r="EV106" s="119"/>
      <c r="EW106" s="119"/>
      <c r="EX106" s="119"/>
      <c r="EY106" s="119"/>
      <c r="EZ106" s="119"/>
      <c r="FA106" s="119"/>
      <c r="FB106" s="119"/>
      <c r="FC106" s="119"/>
      <c r="FD106" s="119"/>
      <c r="FE106" s="119"/>
      <c r="FF106" s="119"/>
      <c r="FG106" s="119"/>
      <c r="FH106" s="119"/>
      <c r="FI106" s="119"/>
      <c r="FJ106" s="119"/>
      <c r="FK106" s="119"/>
      <c r="FL106" s="119"/>
      <c r="FM106" s="119"/>
      <c r="FN106" s="119"/>
      <c r="FO106" s="119"/>
      <c r="FP106" s="119"/>
      <c r="FQ106" s="119"/>
      <c r="FR106" s="119"/>
      <c r="FS106" s="119"/>
      <c r="FT106" s="119"/>
      <c r="FU106" s="119"/>
      <c r="FV106" s="119"/>
      <c r="FW106" s="119"/>
      <c r="FX106" s="119"/>
      <c r="FY106" s="119"/>
      <c r="FZ106" s="119"/>
      <c r="GA106" s="119"/>
      <c r="GB106" s="119"/>
      <c r="GC106" s="119"/>
      <c r="GD106" s="119"/>
      <c r="GE106" s="119"/>
      <c r="GF106" s="119"/>
      <c r="GG106" s="119"/>
      <c r="GH106" s="119"/>
      <c r="GI106" s="119"/>
      <c r="GJ106" s="119"/>
      <c r="GK106" s="119"/>
      <c r="GL106" s="119"/>
      <c r="GM106" s="119"/>
      <c r="GN106" s="119"/>
      <c r="GO106" s="119"/>
      <c r="GP106" s="119"/>
      <c r="GQ106" s="119"/>
      <c r="GR106" s="119"/>
      <c r="GS106" s="119"/>
      <c r="GT106" s="119"/>
      <c r="GU106" s="119"/>
      <c r="GV106" s="119"/>
      <c r="GW106" s="119"/>
      <c r="GX106" s="119"/>
      <c r="GY106" s="119"/>
      <c r="GZ106" s="119"/>
      <c r="HA106" s="119"/>
      <c r="HB106" s="119"/>
      <c r="HC106" s="119"/>
      <c r="HD106" s="119"/>
      <c r="HE106" s="119"/>
      <c r="HF106" s="119"/>
      <c r="HG106" s="119"/>
      <c r="HH106" s="119"/>
      <c r="HI106" s="119"/>
      <c r="HJ106" s="119"/>
      <c r="HK106" s="119"/>
      <c r="HL106" s="119"/>
      <c r="HM106" s="119"/>
      <c r="HN106" s="119"/>
      <c r="HO106" s="119"/>
      <c r="HP106" s="119"/>
      <c r="HQ106" s="119"/>
      <c r="HR106" s="119"/>
      <c r="HS106" s="119"/>
      <c r="HT106" s="119"/>
      <c r="HU106" s="119"/>
      <c r="HV106" s="119"/>
      <c r="HW106" s="119"/>
      <c r="HX106" s="119"/>
      <c r="HY106" s="119"/>
      <c r="HZ106" s="119"/>
      <c r="IA106" s="119"/>
      <c r="IB106" s="119"/>
      <c r="IC106" s="119"/>
      <c r="ID106" s="119"/>
      <c r="IE106" s="119"/>
      <c r="IF106" s="119"/>
      <c r="IG106" s="119"/>
      <c r="IH106" s="119"/>
      <c r="II106" s="119"/>
      <c r="IJ106" s="119"/>
      <c r="IK106" s="119"/>
      <c r="IL106" s="119"/>
      <c r="IM106" s="119"/>
      <c r="IN106" s="119"/>
      <c r="IO106" s="119"/>
      <c r="IP106" s="119"/>
      <c r="IQ106" s="119"/>
      <c r="IR106" s="119"/>
      <c r="IS106" s="119"/>
      <c r="IT106" s="119"/>
      <c r="IU106" s="119"/>
      <c r="IV106" s="119"/>
      <c r="IW106" s="119"/>
    </row>
    <row r="107" spans="1:257" s="187" customFormat="1" ht="18" customHeight="1" x14ac:dyDescent="0.35">
      <c r="A107" s="195">
        <v>98</v>
      </c>
      <c r="B107" s="692"/>
      <c r="C107" s="120"/>
      <c r="D107" s="1266" t="s">
        <v>808</v>
      </c>
      <c r="E107" s="127"/>
      <c r="F107" s="127"/>
      <c r="G107" s="693"/>
      <c r="H107" s="224"/>
      <c r="I107" s="559"/>
      <c r="J107" s="559"/>
      <c r="K107" s="559">
        <v>5000</v>
      </c>
      <c r="L107" s="559"/>
      <c r="M107" s="559"/>
      <c r="N107" s="1284"/>
      <c r="O107" s="576"/>
      <c r="P107" s="1275">
        <f>SUM(I107:N107)</f>
        <v>5000</v>
      </c>
      <c r="Q107" s="694"/>
      <c r="R107" s="119"/>
      <c r="S107" s="119"/>
      <c r="T107" s="119"/>
      <c r="U107" s="119"/>
      <c r="V107" s="119"/>
      <c r="W107" s="119"/>
      <c r="X107" s="119"/>
      <c r="Y107" s="119"/>
      <c r="Z107" s="119"/>
      <c r="AA107" s="119"/>
      <c r="AB107" s="119"/>
      <c r="AC107" s="119"/>
      <c r="AD107" s="119"/>
      <c r="AE107" s="119"/>
      <c r="AF107" s="119"/>
      <c r="AG107" s="119"/>
      <c r="AH107" s="119"/>
      <c r="AI107" s="119"/>
      <c r="AJ107" s="119"/>
      <c r="AK107" s="119"/>
      <c r="AL107" s="119"/>
      <c r="AM107" s="119"/>
      <c r="AN107" s="119"/>
      <c r="AO107" s="119"/>
      <c r="AP107" s="119"/>
      <c r="AQ107" s="119"/>
      <c r="AR107" s="119"/>
      <c r="AS107" s="119"/>
      <c r="AT107" s="119"/>
      <c r="AU107" s="119"/>
      <c r="AV107" s="119"/>
      <c r="AW107" s="119"/>
      <c r="AX107" s="119"/>
      <c r="AY107" s="119"/>
      <c r="AZ107" s="119"/>
      <c r="BA107" s="119"/>
      <c r="BB107" s="119"/>
      <c r="BC107" s="119"/>
      <c r="BD107" s="119"/>
      <c r="BE107" s="119"/>
      <c r="BF107" s="119"/>
      <c r="BG107" s="119"/>
      <c r="BH107" s="119"/>
      <c r="BI107" s="119"/>
      <c r="BJ107" s="119"/>
      <c r="BK107" s="119"/>
      <c r="BL107" s="119"/>
      <c r="BM107" s="119"/>
      <c r="BN107" s="119"/>
      <c r="BO107" s="119"/>
      <c r="BP107" s="119"/>
      <c r="BQ107" s="119"/>
      <c r="BR107" s="119"/>
      <c r="BS107" s="119"/>
      <c r="BT107" s="119"/>
      <c r="BU107" s="119"/>
      <c r="BV107" s="119"/>
      <c r="BW107" s="119"/>
      <c r="BX107" s="119"/>
      <c r="BY107" s="119"/>
      <c r="BZ107" s="119"/>
      <c r="CA107" s="119"/>
      <c r="CB107" s="119"/>
      <c r="CC107" s="119"/>
      <c r="CD107" s="119"/>
      <c r="CE107" s="119"/>
      <c r="CF107" s="119"/>
      <c r="CG107" s="119"/>
      <c r="CH107" s="119"/>
      <c r="CI107" s="119"/>
      <c r="CJ107" s="119"/>
      <c r="CK107" s="119"/>
      <c r="CL107" s="119"/>
      <c r="CM107" s="119"/>
      <c r="CN107" s="119"/>
      <c r="CO107" s="119"/>
      <c r="CP107" s="119"/>
      <c r="CQ107" s="119"/>
      <c r="CR107" s="119"/>
      <c r="CS107" s="119"/>
      <c r="CT107" s="119"/>
      <c r="CU107" s="119"/>
      <c r="CV107" s="119"/>
      <c r="CW107" s="119"/>
      <c r="CX107" s="119"/>
      <c r="CY107" s="119"/>
      <c r="CZ107" s="119"/>
      <c r="DA107" s="119"/>
      <c r="DB107" s="119"/>
      <c r="DC107" s="119"/>
      <c r="DD107" s="119"/>
      <c r="DE107" s="119"/>
      <c r="DF107" s="119"/>
      <c r="DG107" s="119"/>
      <c r="DH107" s="119"/>
      <c r="DI107" s="119"/>
      <c r="DJ107" s="119"/>
      <c r="DK107" s="119"/>
      <c r="DL107" s="119"/>
      <c r="DM107" s="119"/>
      <c r="DN107" s="119"/>
      <c r="DO107" s="119"/>
      <c r="DP107" s="119"/>
      <c r="DQ107" s="119"/>
      <c r="DR107" s="119"/>
      <c r="DS107" s="119"/>
      <c r="DT107" s="119"/>
      <c r="DU107" s="119"/>
      <c r="DV107" s="119"/>
      <c r="DW107" s="119"/>
      <c r="DX107" s="119"/>
      <c r="DY107" s="119"/>
      <c r="DZ107" s="119"/>
      <c r="EA107" s="119"/>
      <c r="EB107" s="119"/>
      <c r="EC107" s="119"/>
      <c r="ED107" s="119"/>
      <c r="EE107" s="119"/>
      <c r="EF107" s="119"/>
      <c r="EG107" s="119"/>
      <c r="EH107" s="119"/>
      <c r="EI107" s="119"/>
      <c r="EJ107" s="119"/>
      <c r="EK107" s="119"/>
      <c r="EL107" s="119"/>
      <c r="EM107" s="119"/>
      <c r="EN107" s="119"/>
      <c r="EO107" s="119"/>
      <c r="EP107" s="119"/>
      <c r="EQ107" s="119"/>
      <c r="ER107" s="119"/>
      <c r="ES107" s="119"/>
      <c r="ET107" s="119"/>
      <c r="EU107" s="119"/>
      <c r="EV107" s="119"/>
      <c r="EW107" s="119"/>
      <c r="EX107" s="119"/>
      <c r="EY107" s="119"/>
      <c r="EZ107" s="119"/>
      <c r="FA107" s="119"/>
      <c r="FB107" s="119"/>
      <c r="FC107" s="119"/>
      <c r="FD107" s="119"/>
      <c r="FE107" s="119"/>
      <c r="FF107" s="119"/>
      <c r="FG107" s="119"/>
      <c r="FH107" s="119"/>
      <c r="FI107" s="119"/>
      <c r="FJ107" s="119"/>
      <c r="FK107" s="119"/>
      <c r="FL107" s="119"/>
      <c r="FM107" s="119"/>
      <c r="FN107" s="119"/>
      <c r="FO107" s="119"/>
      <c r="FP107" s="119"/>
      <c r="FQ107" s="119"/>
      <c r="FR107" s="119"/>
      <c r="FS107" s="119"/>
      <c r="FT107" s="119"/>
      <c r="FU107" s="119"/>
      <c r="FV107" s="119"/>
      <c r="FW107" s="119"/>
      <c r="FX107" s="119"/>
      <c r="FY107" s="119"/>
      <c r="FZ107" s="119"/>
      <c r="GA107" s="119"/>
      <c r="GB107" s="119"/>
      <c r="GC107" s="119"/>
      <c r="GD107" s="119"/>
      <c r="GE107" s="119"/>
      <c r="GF107" s="119"/>
      <c r="GG107" s="119"/>
      <c r="GH107" s="119"/>
      <c r="GI107" s="119"/>
      <c r="GJ107" s="119"/>
      <c r="GK107" s="119"/>
      <c r="GL107" s="119"/>
      <c r="GM107" s="119"/>
      <c r="GN107" s="119"/>
      <c r="GO107" s="119"/>
      <c r="GP107" s="119"/>
      <c r="GQ107" s="119"/>
      <c r="GR107" s="119"/>
      <c r="GS107" s="119"/>
      <c r="GT107" s="119"/>
      <c r="GU107" s="119"/>
      <c r="GV107" s="119"/>
      <c r="GW107" s="119"/>
      <c r="GX107" s="119"/>
      <c r="GY107" s="119"/>
      <c r="GZ107" s="119"/>
      <c r="HA107" s="119"/>
      <c r="HB107" s="119"/>
      <c r="HC107" s="119"/>
      <c r="HD107" s="119"/>
      <c r="HE107" s="119"/>
      <c r="HF107" s="119"/>
      <c r="HG107" s="119"/>
      <c r="HH107" s="119"/>
      <c r="HI107" s="119"/>
      <c r="HJ107" s="119"/>
      <c r="HK107" s="119"/>
      <c r="HL107" s="119"/>
      <c r="HM107" s="119"/>
      <c r="HN107" s="119"/>
      <c r="HO107" s="119"/>
      <c r="HP107" s="119"/>
      <c r="HQ107" s="119"/>
      <c r="HR107" s="119"/>
      <c r="HS107" s="119"/>
      <c r="HT107" s="119"/>
      <c r="HU107" s="119"/>
      <c r="HV107" s="119"/>
      <c r="HW107" s="119"/>
      <c r="HX107" s="119"/>
      <c r="HY107" s="119"/>
      <c r="HZ107" s="119"/>
      <c r="IA107" s="119"/>
      <c r="IB107" s="119"/>
      <c r="IC107" s="119"/>
      <c r="ID107" s="119"/>
      <c r="IE107" s="119"/>
      <c r="IF107" s="119"/>
      <c r="IG107" s="119"/>
      <c r="IH107" s="119"/>
      <c r="II107" s="119"/>
      <c r="IJ107" s="119"/>
      <c r="IK107" s="119"/>
      <c r="IL107" s="119"/>
      <c r="IM107" s="119"/>
      <c r="IN107" s="119"/>
      <c r="IO107" s="119"/>
      <c r="IP107" s="119"/>
      <c r="IQ107" s="119"/>
      <c r="IR107" s="119"/>
      <c r="IS107" s="119"/>
      <c r="IT107" s="119"/>
      <c r="IU107" s="119"/>
      <c r="IV107" s="119"/>
      <c r="IW107" s="119"/>
    </row>
    <row r="108" spans="1:257" s="187" customFormat="1" ht="18" customHeight="1" x14ac:dyDescent="0.35">
      <c r="A108" s="195">
        <v>99</v>
      </c>
      <c r="B108" s="692"/>
      <c r="C108" s="120"/>
      <c r="D108" s="1265" t="s">
        <v>656</v>
      </c>
      <c r="E108" s="127"/>
      <c r="F108" s="127"/>
      <c r="G108" s="693"/>
      <c r="H108" s="224"/>
      <c r="I108" s="559"/>
      <c r="J108" s="559"/>
      <c r="K108" s="1282"/>
      <c r="L108" s="559"/>
      <c r="M108" s="559"/>
      <c r="N108" s="1284"/>
      <c r="O108" s="576"/>
      <c r="P108" s="1276">
        <f t="shared" si="26"/>
        <v>0</v>
      </c>
      <c r="Q108" s="694"/>
      <c r="R108" s="119"/>
      <c r="S108" s="119"/>
      <c r="T108" s="119"/>
      <c r="U108" s="119"/>
      <c r="V108" s="119"/>
      <c r="W108" s="119"/>
      <c r="X108" s="119"/>
      <c r="Y108" s="119"/>
      <c r="Z108" s="119"/>
      <c r="AA108" s="119"/>
      <c r="AB108" s="119"/>
      <c r="AC108" s="119"/>
      <c r="AD108" s="119"/>
      <c r="AE108" s="119"/>
      <c r="AF108" s="119"/>
      <c r="AG108" s="119"/>
      <c r="AH108" s="119"/>
      <c r="AI108" s="119"/>
      <c r="AJ108" s="119"/>
      <c r="AK108" s="119"/>
      <c r="AL108" s="119"/>
      <c r="AM108" s="119"/>
      <c r="AN108" s="119"/>
      <c r="AO108" s="119"/>
      <c r="AP108" s="119"/>
      <c r="AQ108" s="119"/>
      <c r="AR108" s="119"/>
      <c r="AS108" s="119"/>
      <c r="AT108" s="119"/>
      <c r="AU108" s="119"/>
      <c r="AV108" s="119"/>
      <c r="AW108" s="119"/>
      <c r="AX108" s="119"/>
      <c r="AY108" s="119"/>
      <c r="AZ108" s="119"/>
      <c r="BA108" s="119"/>
      <c r="BB108" s="119"/>
      <c r="BC108" s="119"/>
      <c r="BD108" s="119"/>
      <c r="BE108" s="119"/>
      <c r="BF108" s="119"/>
      <c r="BG108" s="119"/>
      <c r="BH108" s="119"/>
      <c r="BI108" s="119"/>
      <c r="BJ108" s="119"/>
      <c r="BK108" s="119"/>
      <c r="BL108" s="119"/>
      <c r="BM108" s="119"/>
      <c r="BN108" s="119"/>
      <c r="BO108" s="119"/>
      <c r="BP108" s="119"/>
      <c r="BQ108" s="119"/>
      <c r="BR108" s="119"/>
      <c r="BS108" s="119"/>
      <c r="BT108" s="119"/>
      <c r="BU108" s="119"/>
      <c r="BV108" s="119"/>
      <c r="BW108" s="119"/>
      <c r="BX108" s="119"/>
      <c r="BY108" s="119"/>
      <c r="BZ108" s="119"/>
      <c r="CA108" s="119"/>
      <c r="CB108" s="119"/>
      <c r="CC108" s="119"/>
      <c r="CD108" s="119"/>
      <c r="CE108" s="119"/>
      <c r="CF108" s="119"/>
      <c r="CG108" s="119"/>
      <c r="CH108" s="119"/>
      <c r="CI108" s="119"/>
      <c r="CJ108" s="119"/>
      <c r="CK108" s="119"/>
      <c r="CL108" s="119"/>
      <c r="CM108" s="119"/>
      <c r="CN108" s="119"/>
      <c r="CO108" s="119"/>
      <c r="CP108" s="119"/>
      <c r="CQ108" s="119"/>
      <c r="CR108" s="119"/>
      <c r="CS108" s="119"/>
      <c r="CT108" s="119"/>
      <c r="CU108" s="119"/>
      <c r="CV108" s="119"/>
      <c r="CW108" s="119"/>
      <c r="CX108" s="119"/>
      <c r="CY108" s="119"/>
      <c r="CZ108" s="119"/>
      <c r="DA108" s="119"/>
      <c r="DB108" s="119"/>
      <c r="DC108" s="119"/>
      <c r="DD108" s="119"/>
      <c r="DE108" s="119"/>
      <c r="DF108" s="119"/>
      <c r="DG108" s="119"/>
      <c r="DH108" s="119"/>
      <c r="DI108" s="119"/>
      <c r="DJ108" s="119"/>
      <c r="DK108" s="119"/>
      <c r="DL108" s="119"/>
      <c r="DM108" s="119"/>
      <c r="DN108" s="119"/>
      <c r="DO108" s="119"/>
      <c r="DP108" s="119"/>
      <c r="DQ108" s="119"/>
      <c r="DR108" s="119"/>
      <c r="DS108" s="119"/>
      <c r="DT108" s="119"/>
      <c r="DU108" s="119"/>
      <c r="DV108" s="119"/>
      <c r="DW108" s="119"/>
      <c r="DX108" s="119"/>
      <c r="DY108" s="119"/>
      <c r="DZ108" s="119"/>
      <c r="EA108" s="119"/>
      <c r="EB108" s="119"/>
      <c r="EC108" s="119"/>
      <c r="ED108" s="119"/>
      <c r="EE108" s="119"/>
      <c r="EF108" s="119"/>
      <c r="EG108" s="119"/>
      <c r="EH108" s="119"/>
      <c r="EI108" s="119"/>
      <c r="EJ108" s="119"/>
      <c r="EK108" s="119"/>
      <c r="EL108" s="119"/>
      <c r="EM108" s="119"/>
      <c r="EN108" s="119"/>
      <c r="EO108" s="119"/>
      <c r="EP108" s="119"/>
      <c r="EQ108" s="119"/>
      <c r="ER108" s="119"/>
      <c r="ES108" s="119"/>
      <c r="ET108" s="119"/>
      <c r="EU108" s="119"/>
      <c r="EV108" s="119"/>
      <c r="EW108" s="119"/>
      <c r="EX108" s="119"/>
      <c r="EY108" s="119"/>
      <c r="EZ108" s="119"/>
      <c r="FA108" s="119"/>
      <c r="FB108" s="119"/>
      <c r="FC108" s="119"/>
      <c r="FD108" s="119"/>
      <c r="FE108" s="119"/>
      <c r="FF108" s="119"/>
      <c r="FG108" s="119"/>
      <c r="FH108" s="119"/>
      <c r="FI108" s="119"/>
      <c r="FJ108" s="119"/>
      <c r="FK108" s="119"/>
      <c r="FL108" s="119"/>
      <c r="FM108" s="119"/>
      <c r="FN108" s="119"/>
      <c r="FO108" s="119"/>
      <c r="FP108" s="119"/>
      <c r="FQ108" s="119"/>
      <c r="FR108" s="119"/>
      <c r="FS108" s="119"/>
      <c r="FT108" s="119"/>
      <c r="FU108" s="119"/>
      <c r="FV108" s="119"/>
      <c r="FW108" s="119"/>
      <c r="FX108" s="119"/>
      <c r="FY108" s="119"/>
      <c r="FZ108" s="119"/>
      <c r="GA108" s="119"/>
      <c r="GB108" s="119"/>
      <c r="GC108" s="119"/>
      <c r="GD108" s="119"/>
      <c r="GE108" s="119"/>
      <c r="GF108" s="119"/>
      <c r="GG108" s="119"/>
      <c r="GH108" s="119"/>
      <c r="GI108" s="119"/>
      <c r="GJ108" s="119"/>
      <c r="GK108" s="119"/>
      <c r="GL108" s="119"/>
      <c r="GM108" s="119"/>
      <c r="GN108" s="119"/>
      <c r="GO108" s="119"/>
      <c r="GP108" s="119"/>
      <c r="GQ108" s="119"/>
      <c r="GR108" s="119"/>
      <c r="GS108" s="119"/>
      <c r="GT108" s="119"/>
      <c r="GU108" s="119"/>
      <c r="GV108" s="119"/>
      <c r="GW108" s="119"/>
      <c r="GX108" s="119"/>
      <c r="GY108" s="119"/>
      <c r="GZ108" s="119"/>
      <c r="HA108" s="119"/>
      <c r="HB108" s="119"/>
      <c r="HC108" s="119"/>
      <c r="HD108" s="119"/>
      <c r="HE108" s="119"/>
      <c r="HF108" s="119"/>
      <c r="HG108" s="119"/>
      <c r="HH108" s="119"/>
      <c r="HI108" s="119"/>
      <c r="HJ108" s="119"/>
      <c r="HK108" s="119"/>
      <c r="HL108" s="119"/>
      <c r="HM108" s="119"/>
      <c r="HN108" s="119"/>
      <c r="HO108" s="119"/>
      <c r="HP108" s="119"/>
      <c r="HQ108" s="119"/>
      <c r="HR108" s="119"/>
      <c r="HS108" s="119"/>
      <c r="HT108" s="119"/>
      <c r="HU108" s="119"/>
      <c r="HV108" s="119"/>
      <c r="HW108" s="119"/>
      <c r="HX108" s="119"/>
      <c r="HY108" s="119"/>
      <c r="HZ108" s="119"/>
      <c r="IA108" s="119"/>
      <c r="IB108" s="119"/>
      <c r="IC108" s="119"/>
      <c r="ID108" s="119"/>
      <c r="IE108" s="119"/>
      <c r="IF108" s="119"/>
      <c r="IG108" s="119"/>
      <c r="IH108" s="119"/>
      <c r="II108" s="119"/>
      <c r="IJ108" s="119"/>
      <c r="IK108" s="119"/>
      <c r="IL108" s="119"/>
      <c r="IM108" s="119"/>
      <c r="IN108" s="119"/>
      <c r="IO108" s="119"/>
      <c r="IP108" s="119"/>
      <c r="IQ108" s="119"/>
      <c r="IR108" s="119"/>
      <c r="IS108" s="119"/>
      <c r="IT108" s="119"/>
      <c r="IU108" s="119"/>
      <c r="IV108" s="119"/>
      <c r="IW108" s="119"/>
    </row>
    <row r="109" spans="1:257" s="187" customFormat="1" ht="18" customHeight="1" x14ac:dyDescent="0.35">
      <c r="A109" s="195">
        <v>100</v>
      </c>
      <c r="B109" s="575"/>
      <c r="C109" s="548"/>
      <c r="D109" s="1268" t="s">
        <v>862</v>
      </c>
      <c r="E109" s="238"/>
      <c r="F109" s="238"/>
      <c r="G109" s="576"/>
      <c r="H109" s="240"/>
      <c r="I109" s="1270"/>
      <c r="J109" s="1270"/>
      <c r="K109" s="1270">
        <f>SUM(K107:K108)</f>
        <v>5000</v>
      </c>
      <c r="L109" s="1270"/>
      <c r="M109" s="1270"/>
      <c r="N109" s="1271"/>
      <c r="O109" s="576"/>
      <c r="P109" s="1275">
        <f t="shared" si="26"/>
        <v>5000</v>
      </c>
      <c r="Q109" s="1246"/>
      <c r="R109" s="119"/>
      <c r="S109" s="119"/>
      <c r="T109" s="119"/>
      <c r="U109" s="119"/>
      <c r="V109" s="119"/>
      <c r="W109" s="119"/>
      <c r="X109" s="119"/>
      <c r="Y109" s="119"/>
      <c r="Z109" s="119"/>
      <c r="AA109" s="119"/>
      <c r="AB109" s="119"/>
      <c r="AC109" s="119"/>
      <c r="AD109" s="119"/>
      <c r="AE109" s="119"/>
      <c r="AF109" s="119"/>
      <c r="AG109" s="119"/>
      <c r="AH109" s="119"/>
      <c r="AI109" s="119"/>
      <c r="AJ109" s="119"/>
      <c r="AK109" s="119"/>
      <c r="AL109" s="119"/>
      <c r="AM109" s="119"/>
      <c r="AN109" s="119"/>
      <c r="AO109" s="119"/>
      <c r="AP109" s="119"/>
      <c r="AQ109" s="119"/>
      <c r="AR109" s="119"/>
      <c r="AS109" s="119"/>
      <c r="AT109" s="119"/>
      <c r="AU109" s="119"/>
      <c r="AV109" s="119"/>
      <c r="AW109" s="119"/>
      <c r="AX109" s="119"/>
      <c r="AY109" s="119"/>
      <c r="AZ109" s="119"/>
      <c r="BA109" s="119"/>
      <c r="BB109" s="119"/>
      <c r="BC109" s="119"/>
      <c r="BD109" s="119"/>
      <c r="BE109" s="119"/>
      <c r="BF109" s="119"/>
      <c r="BG109" s="119"/>
      <c r="BH109" s="119"/>
      <c r="BI109" s="119"/>
      <c r="BJ109" s="119"/>
      <c r="BK109" s="119"/>
      <c r="BL109" s="119"/>
      <c r="BM109" s="119"/>
      <c r="BN109" s="119"/>
      <c r="BO109" s="119"/>
      <c r="BP109" s="119"/>
      <c r="BQ109" s="119"/>
      <c r="BR109" s="119"/>
      <c r="BS109" s="119"/>
      <c r="BT109" s="119"/>
      <c r="BU109" s="119"/>
      <c r="BV109" s="119"/>
      <c r="BW109" s="119"/>
      <c r="BX109" s="119"/>
      <c r="BY109" s="119"/>
      <c r="BZ109" s="119"/>
      <c r="CA109" s="119"/>
      <c r="CB109" s="119"/>
      <c r="CC109" s="119"/>
      <c r="CD109" s="119"/>
      <c r="CE109" s="119"/>
      <c r="CF109" s="119"/>
      <c r="CG109" s="119"/>
      <c r="CH109" s="119"/>
      <c r="CI109" s="119"/>
      <c r="CJ109" s="119"/>
      <c r="CK109" s="119"/>
      <c r="CL109" s="119"/>
      <c r="CM109" s="119"/>
      <c r="CN109" s="119"/>
      <c r="CO109" s="119"/>
      <c r="CP109" s="119"/>
      <c r="CQ109" s="119"/>
      <c r="CR109" s="119"/>
      <c r="CS109" s="119"/>
      <c r="CT109" s="119"/>
      <c r="CU109" s="119"/>
      <c r="CV109" s="119"/>
      <c r="CW109" s="119"/>
      <c r="CX109" s="119"/>
      <c r="CY109" s="119"/>
      <c r="CZ109" s="119"/>
      <c r="DA109" s="119"/>
      <c r="DB109" s="119"/>
      <c r="DC109" s="119"/>
      <c r="DD109" s="119"/>
      <c r="DE109" s="119"/>
      <c r="DF109" s="119"/>
      <c r="DG109" s="119"/>
      <c r="DH109" s="119"/>
      <c r="DI109" s="119"/>
      <c r="DJ109" s="119"/>
      <c r="DK109" s="119"/>
      <c r="DL109" s="119"/>
      <c r="DM109" s="119"/>
      <c r="DN109" s="119"/>
      <c r="DO109" s="119"/>
      <c r="DP109" s="119"/>
      <c r="DQ109" s="119"/>
      <c r="DR109" s="119"/>
      <c r="DS109" s="119"/>
      <c r="DT109" s="119"/>
      <c r="DU109" s="119"/>
      <c r="DV109" s="119"/>
      <c r="DW109" s="119"/>
      <c r="DX109" s="119"/>
      <c r="DY109" s="119"/>
      <c r="DZ109" s="119"/>
      <c r="EA109" s="119"/>
      <c r="EB109" s="119"/>
      <c r="EC109" s="119"/>
      <c r="ED109" s="119"/>
      <c r="EE109" s="119"/>
      <c r="EF109" s="119"/>
      <c r="EG109" s="119"/>
      <c r="EH109" s="119"/>
      <c r="EI109" s="119"/>
      <c r="EJ109" s="119"/>
      <c r="EK109" s="119"/>
      <c r="EL109" s="119"/>
      <c r="EM109" s="119"/>
      <c r="EN109" s="119"/>
      <c r="EO109" s="119"/>
      <c r="EP109" s="119"/>
      <c r="EQ109" s="119"/>
      <c r="ER109" s="119"/>
      <c r="ES109" s="119"/>
      <c r="ET109" s="119"/>
      <c r="EU109" s="119"/>
      <c r="EV109" s="119"/>
      <c r="EW109" s="119"/>
      <c r="EX109" s="119"/>
      <c r="EY109" s="119"/>
      <c r="EZ109" s="119"/>
      <c r="FA109" s="119"/>
      <c r="FB109" s="119"/>
      <c r="FC109" s="119"/>
      <c r="FD109" s="119"/>
      <c r="FE109" s="119"/>
      <c r="FF109" s="119"/>
      <c r="FG109" s="119"/>
      <c r="FH109" s="119"/>
      <c r="FI109" s="119"/>
      <c r="FJ109" s="119"/>
      <c r="FK109" s="119"/>
      <c r="FL109" s="119"/>
      <c r="FM109" s="119"/>
      <c r="FN109" s="119"/>
      <c r="FO109" s="119"/>
      <c r="FP109" s="119"/>
      <c r="FQ109" s="119"/>
      <c r="FR109" s="119"/>
      <c r="FS109" s="119"/>
      <c r="FT109" s="119"/>
      <c r="FU109" s="119"/>
      <c r="FV109" s="119"/>
      <c r="FW109" s="119"/>
      <c r="FX109" s="119"/>
      <c r="FY109" s="119"/>
      <c r="FZ109" s="119"/>
      <c r="GA109" s="119"/>
      <c r="GB109" s="119"/>
      <c r="GC109" s="119"/>
      <c r="GD109" s="119"/>
      <c r="GE109" s="119"/>
      <c r="GF109" s="119"/>
      <c r="GG109" s="119"/>
      <c r="GH109" s="119"/>
      <c r="GI109" s="119"/>
      <c r="GJ109" s="119"/>
      <c r="GK109" s="119"/>
      <c r="GL109" s="119"/>
      <c r="GM109" s="119"/>
      <c r="GN109" s="119"/>
      <c r="GO109" s="119"/>
      <c r="GP109" s="119"/>
      <c r="GQ109" s="119"/>
      <c r="GR109" s="119"/>
      <c r="GS109" s="119"/>
      <c r="GT109" s="119"/>
      <c r="GU109" s="119"/>
      <c r="GV109" s="119"/>
      <c r="GW109" s="119"/>
      <c r="GX109" s="119"/>
      <c r="GY109" s="119"/>
      <c r="GZ109" s="119"/>
      <c r="HA109" s="119"/>
      <c r="HB109" s="119"/>
      <c r="HC109" s="119"/>
      <c r="HD109" s="119"/>
      <c r="HE109" s="119"/>
      <c r="HF109" s="119"/>
      <c r="HG109" s="119"/>
      <c r="HH109" s="119"/>
      <c r="HI109" s="119"/>
      <c r="HJ109" s="119"/>
      <c r="HK109" s="119"/>
      <c r="HL109" s="119"/>
      <c r="HM109" s="119"/>
      <c r="HN109" s="119"/>
      <c r="HO109" s="119"/>
      <c r="HP109" s="119"/>
      <c r="HQ109" s="119"/>
      <c r="HR109" s="119"/>
      <c r="HS109" s="119"/>
      <c r="HT109" s="119"/>
      <c r="HU109" s="119"/>
      <c r="HV109" s="119"/>
      <c r="HW109" s="119"/>
      <c r="HX109" s="119"/>
      <c r="HY109" s="119"/>
      <c r="HZ109" s="119"/>
      <c r="IA109" s="119"/>
      <c r="IB109" s="119"/>
      <c r="IC109" s="119"/>
      <c r="ID109" s="119"/>
      <c r="IE109" s="119"/>
      <c r="IF109" s="119"/>
      <c r="IG109" s="119"/>
      <c r="IH109" s="119"/>
      <c r="II109" s="119"/>
      <c r="IJ109" s="119"/>
      <c r="IK109" s="119"/>
      <c r="IL109" s="119"/>
      <c r="IM109" s="119"/>
      <c r="IN109" s="119"/>
      <c r="IO109" s="119"/>
      <c r="IP109" s="119"/>
      <c r="IQ109" s="119"/>
      <c r="IR109" s="119"/>
      <c r="IS109" s="119"/>
      <c r="IT109" s="119"/>
      <c r="IU109" s="119"/>
      <c r="IV109" s="119"/>
      <c r="IW109" s="119"/>
    </row>
    <row r="110" spans="1:257" s="187" customFormat="1" ht="36" customHeight="1" x14ac:dyDescent="0.35">
      <c r="A110" s="195">
        <v>101</v>
      </c>
      <c r="B110" s="575"/>
      <c r="C110" s="120">
        <v>37</v>
      </c>
      <c r="D110" s="121" t="s">
        <v>1006</v>
      </c>
      <c r="E110" s="127">
        <f>F110+G110+P113</f>
        <v>0</v>
      </c>
      <c r="F110" s="127"/>
      <c r="G110" s="693"/>
      <c r="H110" s="224" t="s">
        <v>24</v>
      </c>
      <c r="I110" s="559"/>
      <c r="J110" s="559"/>
      <c r="K110" s="559"/>
      <c r="L110" s="559"/>
      <c r="M110" s="559"/>
      <c r="N110" s="1284"/>
      <c r="O110" s="693"/>
      <c r="P110" s="1272"/>
      <c r="Q110" s="694"/>
      <c r="R110" s="119"/>
      <c r="S110" s="119"/>
      <c r="T110" s="119"/>
      <c r="U110" s="119"/>
      <c r="V110" s="119"/>
      <c r="W110" s="119"/>
      <c r="X110" s="119"/>
      <c r="Y110" s="119"/>
      <c r="Z110" s="119"/>
      <c r="AA110" s="119"/>
      <c r="AB110" s="119"/>
      <c r="AC110" s="119"/>
      <c r="AD110" s="119"/>
      <c r="AE110" s="119"/>
      <c r="AF110" s="119"/>
      <c r="AG110" s="119"/>
      <c r="AH110" s="119"/>
      <c r="AI110" s="119"/>
      <c r="AJ110" s="119"/>
      <c r="AK110" s="119"/>
      <c r="AL110" s="119"/>
      <c r="AM110" s="119"/>
      <c r="AN110" s="119"/>
      <c r="AO110" s="119"/>
      <c r="AP110" s="119"/>
      <c r="AQ110" s="119"/>
      <c r="AR110" s="119"/>
      <c r="AS110" s="119"/>
      <c r="AT110" s="119"/>
      <c r="AU110" s="119"/>
      <c r="AV110" s="119"/>
      <c r="AW110" s="119"/>
      <c r="AX110" s="119"/>
      <c r="AY110" s="119"/>
      <c r="AZ110" s="119"/>
      <c r="BA110" s="119"/>
      <c r="BB110" s="119"/>
      <c r="BC110" s="119"/>
      <c r="BD110" s="119"/>
      <c r="BE110" s="119"/>
      <c r="BF110" s="119"/>
      <c r="BG110" s="119"/>
      <c r="BH110" s="119"/>
      <c r="BI110" s="119"/>
      <c r="BJ110" s="119"/>
      <c r="BK110" s="119"/>
      <c r="BL110" s="119"/>
      <c r="BM110" s="119"/>
      <c r="BN110" s="119"/>
      <c r="BO110" s="119"/>
      <c r="BP110" s="119"/>
      <c r="BQ110" s="119"/>
      <c r="BR110" s="119"/>
      <c r="BS110" s="119"/>
      <c r="BT110" s="119"/>
      <c r="BU110" s="119"/>
      <c r="BV110" s="119"/>
      <c r="BW110" s="119"/>
      <c r="BX110" s="119"/>
      <c r="BY110" s="119"/>
      <c r="BZ110" s="119"/>
      <c r="CA110" s="119"/>
      <c r="CB110" s="119"/>
      <c r="CC110" s="119"/>
      <c r="CD110" s="119"/>
      <c r="CE110" s="119"/>
      <c r="CF110" s="119"/>
      <c r="CG110" s="119"/>
      <c r="CH110" s="119"/>
      <c r="CI110" s="119"/>
      <c r="CJ110" s="119"/>
      <c r="CK110" s="119"/>
      <c r="CL110" s="119"/>
      <c r="CM110" s="119"/>
      <c r="CN110" s="119"/>
      <c r="CO110" s="119"/>
      <c r="CP110" s="119"/>
      <c r="CQ110" s="119"/>
      <c r="CR110" s="119"/>
      <c r="CS110" s="119"/>
      <c r="CT110" s="119"/>
      <c r="CU110" s="119"/>
      <c r="CV110" s="119"/>
      <c r="CW110" s="119"/>
      <c r="CX110" s="119"/>
      <c r="CY110" s="119"/>
      <c r="CZ110" s="119"/>
      <c r="DA110" s="119"/>
      <c r="DB110" s="119"/>
      <c r="DC110" s="119"/>
      <c r="DD110" s="119"/>
      <c r="DE110" s="119"/>
      <c r="DF110" s="119"/>
      <c r="DG110" s="119"/>
      <c r="DH110" s="119"/>
      <c r="DI110" s="119"/>
      <c r="DJ110" s="119"/>
      <c r="DK110" s="119"/>
      <c r="DL110" s="119"/>
      <c r="DM110" s="119"/>
      <c r="DN110" s="119"/>
      <c r="DO110" s="119"/>
      <c r="DP110" s="119"/>
      <c r="DQ110" s="119"/>
      <c r="DR110" s="119"/>
      <c r="DS110" s="119"/>
      <c r="DT110" s="119"/>
      <c r="DU110" s="119"/>
      <c r="DV110" s="119"/>
      <c r="DW110" s="119"/>
      <c r="DX110" s="119"/>
      <c r="DY110" s="119"/>
      <c r="DZ110" s="119"/>
      <c r="EA110" s="119"/>
      <c r="EB110" s="119"/>
      <c r="EC110" s="119"/>
      <c r="ED110" s="119"/>
      <c r="EE110" s="119"/>
      <c r="EF110" s="119"/>
      <c r="EG110" s="119"/>
      <c r="EH110" s="119"/>
      <c r="EI110" s="119"/>
      <c r="EJ110" s="119"/>
      <c r="EK110" s="119"/>
      <c r="EL110" s="119"/>
      <c r="EM110" s="119"/>
      <c r="EN110" s="119"/>
      <c r="EO110" s="119"/>
      <c r="EP110" s="119"/>
      <c r="EQ110" s="119"/>
      <c r="ER110" s="119"/>
      <c r="ES110" s="119"/>
      <c r="ET110" s="119"/>
      <c r="EU110" s="119"/>
      <c r="EV110" s="119"/>
      <c r="EW110" s="119"/>
      <c r="EX110" s="119"/>
      <c r="EY110" s="119"/>
      <c r="EZ110" s="119"/>
      <c r="FA110" s="119"/>
      <c r="FB110" s="119"/>
      <c r="FC110" s="119"/>
      <c r="FD110" s="119"/>
      <c r="FE110" s="119"/>
      <c r="FF110" s="119"/>
      <c r="FG110" s="119"/>
      <c r="FH110" s="119"/>
      <c r="FI110" s="119"/>
      <c r="FJ110" s="119"/>
      <c r="FK110" s="119"/>
      <c r="FL110" s="119"/>
      <c r="FM110" s="119"/>
      <c r="FN110" s="119"/>
      <c r="FO110" s="119"/>
      <c r="FP110" s="119"/>
      <c r="FQ110" s="119"/>
      <c r="FR110" s="119"/>
      <c r="FS110" s="119"/>
      <c r="FT110" s="119"/>
      <c r="FU110" s="119"/>
      <c r="FV110" s="119"/>
      <c r="FW110" s="119"/>
      <c r="FX110" s="119"/>
      <c r="FY110" s="119"/>
      <c r="FZ110" s="119"/>
      <c r="GA110" s="119"/>
      <c r="GB110" s="119"/>
      <c r="GC110" s="119"/>
      <c r="GD110" s="119"/>
      <c r="GE110" s="119"/>
      <c r="GF110" s="119"/>
      <c r="GG110" s="119"/>
      <c r="GH110" s="119"/>
      <c r="GI110" s="119"/>
      <c r="GJ110" s="119"/>
      <c r="GK110" s="119"/>
      <c r="GL110" s="119"/>
      <c r="GM110" s="119"/>
      <c r="GN110" s="119"/>
      <c r="GO110" s="119"/>
      <c r="GP110" s="119"/>
      <c r="GQ110" s="119"/>
      <c r="GR110" s="119"/>
      <c r="GS110" s="119"/>
      <c r="GT110" s="119"/>
      <c r="GU110" s="119"/>
      <c r="GV110" s="119"/>
      <c r="GW110" s="119"/>
      <c r="GX110" s="119"/>
      <c r="GY110" s="119"/>
      <c r="GZ110" s="119"/>
      <c r="HA110" s="119"/>
      <c r="HB110" s="119"/>
      <c r="HC110" s="119"/>
      <c r="HD110" s="119"/>
      <c r="HE110" s="119"/>
      <c r="HF110" s="119"/>
      <c r="HG110" s="119"/>
      <c r="HH110" s="119"/>
      <c r="HI110" s="119"/>
      <c r="HJ110" s="119"/>
      <c r="HK110" s="119"/>
      <c r="HL110" s="119"/>
      <c r="HM110" s="119"/>
      <c r="HN110" s="119"/>
      <c r="HO110" s="119"/>
      <c r="HP110" s="119"/>
      <c r="HQ110" s="119"/>
      <c r="HR110" s="119"/>
      <c r="HS110" s="119"/>
      <c r="HT110" s="119"/>
      <c r="HU110" s="119"/>
      <c r="HV110" s="119"/>
      <c r="HW110" s="119"/>
      <c r="HX110" s="119"/>
      <c r="HY110" s="119"/>
      <c r="HZ110" s="119"/>
      <c r="IA110" s="119"/>
      <c r="IB110" s="119"/>
      <c r="IC110" s="119"/>
      <c r="ID110" s="119"/>
      <c r="IE110" s="119"/>
      <c r="IF110" s="119"/>
      <c r="IG110" s="119"/>
      <c r="IH110" s="119"/>
      <c r="II110" s="119"/>
      <c r="IJ110" s="119"/>
      <c r="IK110" s="119"/>
      <c r="IL110" s="119"/>
      <c r="IM110" s="119"/>
      <c r="IN110" s="119"/>
      <c r="IO110" s="119"/>
      <c r="IP110" s="119"/>
      <c r="IQ110" s="119"/>
      <c r="IR110" s="119"/>
      <c r="IS110" s="119"/>
      <c r="IT110" s="119"/>
      <c r="IU110" s="119"/>
      <c r="IV110" s="119"/>
      <c r="IW110" s="119"/>
    </row>
    <row r="111" spans="1:257" s="187" customFormat="1" ht="18" customHeight="1" x14ac:dyDescent="0.35">
      <c r="A111" s="195">
        <v>102</v>
      </c>
      <c r="B111" s="575"/>
      <c r="C111" s="120"/>
      <c r="D111" s="1266" t="s">
        <v>808</v>
      </c>
      <c r="E111" s="127"/>
      <c r="F111" s="127"/>
      <c r="G111" s="693"/>
      <c r="H111" s="224"/>
      <c r="I111" s="559"/>
      <c r="J111" s="559"/>
      <c r="K111" s="559"/>
      <c r="L111" s="559"/>
      <c r="M111" s="559">
        <v>39000</v>
      </c>
      <c r="N111" s="1284"/>
      <c r="O111" s="576"/>
      <c r="P111" s="1275">
        <f>SUM(I111:N111)</f>
        <v>39000</v>
      </c>
      <c r="Q111" s="694"/>
      <c r="R111" s="119"/>
      <c r="S111" s="119"/>
      <c r="T111" s="119"/>
      <c r="U111" s="119"/>
      <c r="V111" s="119"/>
      <c r="W111" s="119"/>
      <c r="X111" s="119"/>
      <c r="Y111" s="119"/>
      <c r="Z111" s="119"/>
      <c r="AA111" s="119"/>
      <c r="AB111" s="119"/>
      <c r="AC111" s="119"/>
      <c r="AD111" s="119"/>
      <c r="AE111" s="119"/>
      <c r="AF111" s="119"/>
      <c r="AG111" s="119"/>
      <c r="AH111" s="119"/>
      <c r="AI111" s="119"/>
      <c r="AJ111" s="119"/>
      <c r="AK111" s="119"/>
      <c r="AL111" s="119"/>
      <c r="AM111" s="119"/>
      <c r="AN111" s="119"/>
      <c r="AO111" s="119"/>
      <c r="AP111" s="119"/>
      <c r="AQ111" s="119"/>
      <c r="AR111" s="119"/>
      <c r="AS111" s="119"/>
      <c r="AT111" s="119"/>
      <c r="AU111" s="119"/>
      <c r="AV111" s="119"/>
      <c r="AW111" s="119"/>
      <c r="AX111" s="119"/>
      <c r="AY111" s="119"/>
      <c r="AZ111" s="119"/>
      <c r="BA111" s="119"/>
      <c r="BB111" s="119"/>
      <c r="BC111" s="119"/>
      <c r="BD111" s="119"/>
      <c r="BE111" s="119"/>
      <c r="BF111" s="119"/>
      <c r="BG111" s="119"/>
      <c r="BH111" s="119"/>
      <c r="BI111" s="119"/>
      <c r="BJ111" s="119"/>
      <c r="BK111" s="119"/>
      <c r="BL111" s="119"/>
      <c r="BM111" s="119"/>
      <c r="BN111" s="119"/>
      <c r="BO111" s="119"/>
      <c r="BP111" s="119"/>
      <c r="BQ111" s="119"/>
      <c r="BR111" s="119"/>
      <c r="BS111" s="119"/>
      <c r="BT111" s="119"/>
      <c r="BU111" s="119"/>
      <c r="BV111" s="119"/>
      <c r="BW111" s="119"/>
      <c r="BX111" s="119"/>
      <c r="BY111" s="119"/>
      <c r="BZ111" s="119"/>
      <c r="CA111" s="119"/>
      <c r="CB111" s="119"/>
      <c r="CC111" s="119"/>
      <c r="CD111" s="119"/>
      <c r="CE111" s="119"/>
      <c r="CF111" s="119"/>
      <c r="CG111" s="119"/>
      <c r="CH111" s="119"/>
      <c r="CI111" s="119"/>
      <c r="CJ111" s="119"/>
      <c r="CK111" s="119"/>
      <c r="CL111" s="119"/>
      <c r="CM111" s="119"/>
      <c r="CN111" s="119"/>
      <c r="CO111" s="119"/>
      <c r="CP111" s="119"/>
      <c r="CQ111" s="119"/>
      <c r="CR111" s="119"/>
      <c r="CS111" s="119"/>
      <c r="CT111" s="119"/>
      <c r="CU111" s="119"/>
      <c r="CV111" s="119"/>
      <c r="CW111" s="119"/>
      <c r="CX111" s="119"/>
      <c r="CY111" s="119"/>
      <c r="CZ111" s="119"/>
      <c r="DA111" s="119"/>
      <c r="DB111" s="119"/>
      <c r="DC111" s="119"/>
      <c r="DD111" s="119"/>
      <c r="DE111" s="119"/>
      <c r="DF111" s="119"/>
      <c r="DG111" s="119"/>
      <c r="DH111" s="119"/>
      <c r="DI111" s="119"/>
      <c r="DJ111" s="119"/>
      <c r="DK111" s="119"/>
      <c r="DL111" s="119"/>
      <c r="DM111" s="119"/>
      <c r="DN111" s="119"/>
      <c r="DO111" s="119"/>
      <c r="DP111" s="119"/>
      <c r="DQ111" s="119"/>
      <c r="DR111" s="119"/>
      <c r="DS111" s="119"/>
      <c r="DT111" s="119"/>
      <c r="DU111" s="119"/>
      <c r="DV111" s="119"/>
      <c r="DW111" s="119"/>
      <c r="DX111" s="119"/>
      <c r="DY111" s="119"/>
      <c r="DZ111" s="119"/>
      <c r="EA111" s="119"/>
      <c r="EB111" s="119"/>
      <c r="EC111" s="119"/>
      <c r="ED111" s="119"/>
      <c r="EE111" s="119"/>
      <c r="EF111" s="119"/>
      <c r="EG111" s="119"/>
      <c r="EH111" s="119"/>
      <c r="EI111" s="119"/>
      <c r="EJ111" s="119"/>
      <c r="EK111" s="119"/>
      <c r="EL111" s="119"/>
      <c r="EM111" s="119"/>
      <c r="EN111" s="119"/>
      <c r="EO111" s="119"/>
      <c r="EP111" s="119"/>
      <c r="EQ111" s="119"/>
      <c r="ER111" s="119"/>
      <c r="ES111" s="119"/>
      <c r="ET111" s="119"/>
      <c r="EU111" s="119"/>
      <c r="EV111" s="119"/>
      <c r="EW111" s="119"/>
      <c r="EX111" s="119"/>
      <c r="EY111" s="119"/>
      <c r="EZ111" s="119"/>
      <c r="FA111" s="119"/>
      <c r="FB111" s="119"/>
      <c r="FC111" s="119"/>
      <c r="FD111" s="119"/>
      <c r="FE111" s="119"/>
      <c r="FF111" s="119"/>
      <c r="FG111" s="119"/>
      <c r="FH111" s="119"/>
      <c r="FI111" s="119"/>
      <c r="FJ111" s="119"/>
      <c r="FK111" s="119"/>
      <c r="FL111" s="119"/>
      <c r="FM111" s="119"/>
      <c r="FN111" s="119"/>
      <c r="FO111" s="119"/>
      <c r="FP111" s="119"/>
      <c r="FQ111" s="119"/>
      <c r="FR111" s="119"/>
      <c r="FS111" s="119"/>
      <c r="FT111" s="119"/>
      <c r="FU111" s="119"/>
      <c r="FV111" s="119"/>
      <c r="FW111" s="119"/>
      <c r="FX111" s="119"/>
      <c r="FY111" s="119"/>
      <c r="FZ111" s="119"/>
      <c r="GA111" s="119"/>
      <c r="GB111" s="119"/>
      <c r="GC111" s="119"/>
      <c r="GD111" s="119"/>
      <c r="GE111" s="119"/>
      <c r="GF111" s="119"/>
      <c r="GG111" s="119"/>
      <c r="GH111" s="119"/>
      <c r="GI111" s="119"/>
      <c r="GJ111" s="119"/>
      <c r="GK111" s="119"/>
      <c r="GL111" s="119"/>
      <c r="GM111" s="119"/>
      <c r="GN111" s="119"/>
      <c r="GO111" s="119"/>
      <c r="GP111" s="119"/>
      <c r="GQ111" s="119"/>
      <c r="GR111" s="119"/>
      <c r="GS111" s="119"/>
      <c r="GT111" s="119"/>
      <c r="GU111" s="119"/>
      <c r="GV111" s="119"/>
      <c r="GW111" s="119"/>
      <c r="GX111" s="119"/>
      <c r="GY111" s="119"/>
      <c r="GZ111" s="119"/>
      <c r="HA111" s="119"/>
      <c r="HB111" s="119"/>
      <c r="HC111" s="119"/>
      <c r="HD111" s="119"/>
      <c r="HE111" s="119"/>
      <c r="HF111" s="119"/>
      <c r="HG111" s="119"/>
      <c r="HH111" s="119"/>
      <c r="HI111" s="119"/>
      <c r="HJ111" s="119"/>
      <c r="HK111" s="119"/>
      <c r="HL111" s="119"/>
      <c r="HM111" s="119"/>
      <c r="HN111" s="119"/>
      <c r="HO111" s="119"/>
      <c r="HP111" s="119"/>
      <c r="HQ111" s="119"/>
      <c r="HR111" s="119"/>
      <c r="HS111" s="119"/>
      <c r="HT111" s="119"/>
      <c r="HU111" s="119"/>
      <c r="HV111" s="119"/>
      <c r="HW111" s="119"/>
      <c r="HX111" s="119"/>
      <c r="HY111" s="119"/>
      <c r="HZ111" s="119"/>
      <c r="IA111" s="119"/>
      <c r="IB111" s="119"/>
      <c r="IC111" s="119"/>
      <c r="ID111" s="119"/>
      <c r="IE111" s="119"/>
      <c r="IF111" s="119"/>
      <c r="IG111" s="119"/>
      <c r="IH111" s="119"/>
      <c r="II111" s="119"/>
      <c r="IJ111" s="119"/>
      <c r="IK111" s="119"/>
      <c r="IL111" s="119"/>
      <c r="IM111" s="119"/>
      <c r="IN111" s="119"/>
      <c r="IO111" s="119"/>
      <c r="IP111" s="119"/>
      <c r="IQ111" s="119"/>
      <c r="IR111" s="119"/>
      <c r="IS111" s="119"/>
      <c r="IT111" s="119"/>
      <c r="IU111" s="119"/>
      <c r="IV111" s="119"/>
      <c r="IW111" s="119"/>
    </row>
    <row r="112" spans="1:257" s="187" customFormat="1" ht="18" customHeight="1" x14ac:dyDescent="0.35">
      <c r="A112" s="195">
        <v>103</v>
      </c>
      <c r="B112" s="575"/>
      <c r="C112" s="120"/>
      <c r="D112" s="1265" t="s">
        <v>656</v>
      </c>
      <c r="E112" s="127"/>
      <c r="F112" s="127"/>
      <c r="G112" s="693"/>
      <c r="H112" s="224"/>
      <c r="I112" s="559"/>
      <c r="J112" s="559"/>
      <c r="K112" s="1282"/>
      <c r="L112" s="559"/>
      <c r="M112" s="1282">
        <v>-39000</v>
      </c>
      <c r="N112" s="1284"/>
      <c r="O112" s="1781">
        <v>39000</v>
      </c>
      <c r="P112" s="1276">
        <f t="shared" ref="P112:P113" si="27">SUM(I112:N112)</f>
        <v>-39000</v>
      </c>
      <c r="Q112" s="694"/>
      <c r="R112" s="119"/>
      <c r="S112" s="119"/>
      <c r="T112" s="119"/>
      <c r="U112" s="119"/>
      <c r="V112" s="119"/>
      <c r="W112" s="119"/>
      <c r="X112" s="119"/>
      <c r="Y112" s="119"/>
      <c r="Z112" s="119"/>
      <c r="AA112" s="119"/>
      <c r="AB112" s="119"/>
      <c r="AC112" s="119"/>
      <c r="AD112" s="119"/>
      <c r="AE112" s="119"/>
      <c r="AF112" s="119"/>
      <c r="AG112" s="119"/>
      <c r="AH112" s="119"/>
      <c r="AI112" s="119"/>
      <c r="AJ112" s="119"/>
      <c r="AK112" s="119"/>
      <c r="AL112" s="119"/>
      <c r="AM112" s="119"/>
      <c r="AN112" s="119"/>
      <c r="AO112" s="119"/>
      <c r="AP112" s="119"/>
      <c r="AQ112" s="119"/>
      <c r="AR112" s="119"/>
      <c r="AS112" s="119"/>
      <c r="AT112" s="119"/>
      <c r="AU112" s="119"/>
      <c r="AV112" s="119"/>
      <c r="AW112" s="119"/>
      <c r="AX112" s="119"/>
      <c r="AY112" s="119"/>
      <c r="AZ112" s="119"/>
      <c r="BA112" s="119"/>
      <c r="BB112" s="119"/>
      <c r="BC112" s="119"/>
      <c r="BD112" s="119"/>
      <c r="BE112" s="119"/>
      <c r="BF112" s="119"/>
      <c r="BG112" s="119"/>
      <c r="BH112" s="119"/>
      <c r="BI112" s="119"/>
      <c r="BJ112" s="119"/>
      <c r="BK112" s="119"/>
      <c r="BL112" s="119"/>
      <c r="BM112" s="119"/>
      <c r="BN112" s="119"/>
      <c r="BO112" s="119"/>
      <c r="BP112" s="119"/>
      <c r="BQ112" s="119"/>
      <c r="BR112" s="119"/>
      <c r="BS112" s="119"/>
      <c r="BT112" s="119"/>
      <c r="BU112" s="119"/>
      <c r="BV112" s="119"/>
      <c r="BW112" s="119"/>
      <c r="BX112" s="119"/>
      <c r="BY112" s="119"/>
      <c r="BZ112" s="119"/>
      <c r="CA112" s="119"/>
      <c r="CB112" s="119"/>
      <c r="CC112" s="119"/>
      <c r="CD112" s="119"/>
      <c r="CE112" s="119"/>
      <c r="CF112" s="119"/>
      <c r="CG112" s="119"/>
      <c r="CH112" s="119"/>
      <c r="CI112" s="119"/>
      <c r="CJ112" s="119"/>
      <c r="CK112" s="119"/>
      <c r="CL112" s="119"/>
      <c r="CM112" s="119"/>
      <c r="CN112" s="119"/>
      <c r="CO112" s="119"/>
      <c r="CP112" s="119"/>
      <c r="CQ112" s="119"/>
      <c r="CR112" s="119"/>
      <c r="CS112" s="119"/>
      <c r="CT112" s="119"/>
      <c r="CU112" s="119"/>
      <c r="CV112" s="119"/>
      <c r="CW112" s="119"/>
      <c r="CX112" s="119"/>
      <c r="CY112" s="119"/>
      <c r="CZ112" s="119"/>
      <c r="DA112" s="119"/>
      <c r="DB112" s="119"/>
      <c r="DC112" s="119"/>
      <c r="DD112" s="119"/>
      <c r="DE112" s="119"/>
      <c r="DF112" s="119"/>
      <c r="DG112" s="119"/>
      <c r="DH112" s="119"/>
      <c r="DI112" s="119"/>
      <c r="DJ112" s="119"/>
      <c r="DK112" s="119"/>
      <c r="DL112" s="119"/>
      <c r="DM112" s="119"/>
      <c r="DN112" s="119"/>
      <c r="DO112" s="119"/>
      <c r="DP112" s="119"/>
      <c r="DQ112" s="119"/>
      <c r="DR112" s="119"/>
      <c r="DS112" s="119"/>
      <c r="DT112" s="119"/>
      <c r="DU112" s="119"/>
      <c r="DV112" s="119"/>
      <c r="DW112" s="119"/>
      <c r="DX112" s="119"/>
      <c r="DY112" s="119"/>
      <c r="DZ112" s="119"/>
      <c r="EA112" s="119"/>
      <c r="EB112" s="119"/>
      <c r="EC112" s="119"/>
      <c r="ED112" s="119"/>
      <c r="EE112" s="119"/>
      <c r="EF112" s="119"/>
      <c r="EG112" s="119"/>
      <c r="EH112" s="119"/>
      <c r="EI112" s="119"/>
      <c r="EJ112" s="119"/>
      <c r="EK112" s="119"/>
      <c r="EL112" s="119"/>
      <c r="EM112" s="119"/>
      <c r="EN112" s="119"/>
      <c r="EO112" s="119"/>
      <c r="EP112" s="119"/>
      <c r="EQ112" s="119"/>
      <c r="ER112" s="119"/>
      <c r="ES112" s="119"/>
      <c r="ET112" s="119"/>
      <c r="EU112" s="119"/>
      <c r="EV112" s="119"/>
      <c r="EW112" s="119"/>
      <c r="EX112" s="119"/>
      <c r="EY112" s="119"/>
      <c r="EZ112" s="119"/>
      <c r="FA112" s="119"/>
      <c r="FB112" s="119"/>
      <c r="FC112" s="119"/>
      <c r="FD112" s="119"/>
      <c r="FE112" s="119"/>
      <c r="FF112" s="119"/>
      <c r="FG112" s="119"/>
      <c r="FH112" s="119"/>
      <c r="FI112" s="119"/>
      <c r="FJ112" s="119"/>
      <c r="FK112" s="119"/>
      <c r="FL112" s="119"/>
      <c r="FM112" s="119"/>
      <c r="FN112" s="119"/>
      <c r="FO112" s="119"/>
      <c r="FP112" s="119"/>
      <c r="FQ112" s="119"/>
      <c r="FR112" s="119"/>
      <c r="FS112" s="119"/>
      <c r="FT112" s="119"/>
      <c r="FU112" s="119"/>
      <c r="FV112" s="119"/>
      <c r="FW112" s="119"/>
      <c r="FX112" s="119"/>
      <c r="FY112" s="119"/>
      <c r="FZ112" s="119"/>
      <c r="GA112" s="119"/>
      <c r="GB112" s="119"/>
      <c r="GC112" s="119"/>
      <c r="GD112" s="119"/>
      <c r="GE112" s="119"/>
      <c r="GF112" s="119"/>
      <c r="GG112" s="119"/>
      <c r="GH112" s="119"/>
      <c r="GI112" s="119"/>
      <c r="GJ112" s="119"/>
      <c r="GK112" s="119"/>
      <c r="GL112" s="119"/>
      <c r="GM112" s="119"/>
      <c r="GN112" s="119"/>
      <c r="GO112" s="119"/>
      <c r="GP112" s="119"/>
      <c r="GQ112" s="119"/>
      <c r="GR112" s="119"/>
      <c r="GS112" s="119"/>
      <c r="GT112" s="119"/>
      <c r="GU112" s="119"/>
      <c r="GV112" s="119"/>
      <c r="GW112" s="119"/>
      <c r="GX112" s="119"/>
      <c r="GY112" s="119"/>
      <c r="GZ112" s="119"/>
      <c r="HA112" s="119"/>
      <c r="HB112" s="119"/>
      <c r="HC112" s="119"/>
      <c r="HD112" s="119"/>
      <c r="HE112" s="119"/>
      <c r="HF112" s="119"/>
      <c r="HG112" s="119"/>
      <c r="HH112" s="119"/>
      <c r="HI112" s="119"/>
      <c r="HJ112" s="119"/>
      <c r="HK112" s="119"/>
      <c r="HL112" s="119"/>
      <c r="HM112" s="119"/>
      <c r="HN112" s="119"/>
      <c r="HO112" s="119"/>
      <c r="HP112" s="119"/>
      <c r="HQ112" s="119"/>
      <c r="HR112" s="119"/>
      <c r="HS112" s="119"/>
      <c r="HT112" s="119"/>
      <c r="HU112" s="119"/>
      <c r="HV112" s="119"/>
      <c r="HW112" s="119"/>
      <c r="HX112" s="119"/>
      <c r="HY112" s="119"/>
      <c r="HZ112" s="119"/>
      <c r="IA112" s="119"/>
      <c r="IB112" s="119"/>
      <c r="IC112" s="119"/>
      <c r="ID112" s="119"/>
      <c r="IE112" s="119"/>
      <c r="IF112" s="119"/>
      <c r="IG112" s="119"/>
      <c r="IH112" s="119"/>
      <c r="II112" s="119"/>
      <c r="IJ112" s="119"/>
      <c r="IK112" s="119"/>
      <c r="IL112" s="119"/>
      <c r="IM112" s="119"/>
      <c r="IN112" s="119"/>
      <c r="IO112" s="119"/>
      <c r="IP112" s="119"/>
      <c r="IQ112" s="119"/>
      <c r="IR112" s="119"/>
      <c r="IS112" s="119"/>
      <c r="IT112" s="119"/>
      <c r="IU112" s="119"/>
      <c r="IV112" s="119"/>
      <c r="IW112" s="119"/>
    </row>
    <row r="113" spans="1:257" s="187" customFormat="1" ht="18" customHeight="1" x14ac:dyDescent="0.35">
      <c r="A113" s="195">
        <v>104</v>
      </c>
      <c r="B113" s="575"/>
      <c r="C113" s="548"/>
      <c r="D113" s="1268" t="s">
        <v>862</v>
      </c>
      <c r="E113" s="238"/>
      <c r="F113" s="238"/>
      <c r="G113" s="576"/>
      <c r="H113" s="240"/>
      <c r="I113" s="1270"/>
      <c r="J113" s="1270"/>
      <c r="K113" s="1270"/>
      <c r="L113" s="1270"/>
      <c r="M113" s="1270">
        <f>SUM(M111:M112)</f>
        <v>0</v>
      </c>
      <c r="N113" s="1270"/>
      <c r="O113" s="1270">
        <f t="shared" ref="O113" si="28">SUM(O111:O112)</f>
        <v>39000</v>
      </c>
      <c r="P113" s="1275">
        <f t="shared" si="27"/>
        <v>0</v>
      </c>
      <c r="Q113" s="1246"/>
      <c r="R113" s="119"/>
      <c r="S113" s="119"/>
      <c r="T113" s="119"/>
      <c r="U113" s="119"/>
      <c r="V113" s="119"/>
      <c r="W113" s="119"/>
      <c r="X113" s="119"/>
      <c r="Y113" s="119"/>
      <c r="Z113" s="119"/>
      <c r="AA113" s="119"/>
      <c r="AB113" s="119"/>
      <c r="AC113" s="119"/>
      <c r="AD113" s="119"/>
      <c r="AE113" s="119"/>
      <c r="AF113" s="119"/>
      <c r="AG113" s="119"/>
      <c r="AH113" s="119"/>
      <c r="AI113" s="119"/>
      <c r="AJ113" s="119"/>
      <c r="AK113" s="119"/>
      <c r="AL113" s="119"/>
      <c r="AM113" s="119"/>
      <c r="AN113" s="119"/>
      <c r="AO113" s="119"/>
      <c r="AP113" s="119"/>
      <c r="AQ113" s="119"/>
      <c r="AR113" s="119"/>
      <c r="AS113" s="119"/>
      <c r="AT113" s="119"/>
      <c r="AU113" s="119"/>
      <c r="AV113" s="119"/>
      <c r="AW113" s="119"/>
      <c r="AX113" s="119"/>
      <c r="AY113" s="119"/>
      <c r="AZ113" s="119"/>
      <c r="BA113" s="119"/>
      <c r="BB113" s="119"/>
      <c r="BC113" s="119"/>
      <c r="BD113" s="119"/>
      <c r="BE113" s="119"/>
      <c r="BF113" s="119"/>
      <c r="BG113" s="119"/>
      <c r="BH113" s="119"/>
      <c r="BI113" s="119"/>
      <c r="BJ113" s="119"/>
      <c r="BK113" s="119"/>
      <c r="BL113" s="119"/>
      <c r="BM113" s="119"/>
      <c r="BN113" s="119"/>
      <c r="BO113" s="119"/>
      <c r="BP113" s="119"/>
      <c r="BQ113" s="119"/>
      <c r="BR113" s="119"/>
      <c r="BS113" s="119"/>
      <c r="BT113" s="119"/>
      <c r="BU113" s="119"/>
      <c r="BV113" s="119"/>
      <c r="BW113" s="119"/>
      <c r="BX113" s="119"/>
      <c r="BY113" s="119"/>
      <c r="BZ113" s="119"/>
      <c r="CA113" s="119"/>
      <c r="CB113" s="119"/>
      <c r="CC113" s="119"/>
      <c r="CD113" s="119"/>
      <c r="CE113" s="119"/>
      <c r="CF113" s="119"/>
      <c r="CG113" s="119"/>
      <c r="CH113" s="119"/>
      <c r="CI113" s="119"/>
      <c r="CJ113" s="119"/>
      <c r="CK113" s="119"/>
      <c r="CL113" s="119"/>
      <c r="CM113" s="119"/>
      <c r="CN113" s="119"/>
      <c r="CO113" s="119"/>
      <c r="CP113" s="119"/>
      <c r="CQ113" s="119"/>
      <c r="CR113" s="119"/>
      <c r="CS113" s="119"/>
      <c r="CT113" s="119"/>
      <c r="CU113" s="119"/>
      <c r="CV113" s="119"/>
      <c r="CW113" s="119"/>
      <c r="CX113" s="119"/>
      <c r="CY113" s="119"/>
      <c r="CZ113" s="119"/>
      <c r="DA113" s="119"/>
      <c r="DB113" s="119"/>
      <c r="DC113" s="119"/>
      <c r="DD113" s="119"/>
      <c r="DE113" s="119"/>
      <c r="DF113" s="119"/>
      <c r="DG113" s="119"/>
      <c r="DH113" s="119"/>
      <c r="DI113" s="119"/>
      <c r="DJ113" s="119"/>
      <c r="DK113" s="119"/>
      <c r="DL113" s="119"/>
      <c r="DM113" s="119"/>
      <c r="DN113" s="119"/>
      <c r="DO113" s="119"/>
      <c r="DP113" s="119"/>
      <c r="DQ113" s="119"/>
      <c r="DR113" s="119"/>
      <c r="DS113" s="119"/>
      <c r="DT113" s="119"/>
      <c r="DU113" s="119"/>
      <c r="DV113" s="119"/>
      <c r="DW113" s="119"/>
      <c r="DX113" s="119"/>
      <c r="DY113" s="119"/>
      <c r="DZ113" s="119"/>
      <c r="EA113" s="119"/>
      <c r="EB113" s="119"/>
      <c r="EC113" s="119"/>
      <c r="ED113" s="119"/>
      <c r="EE113" s="119"/>
      <c r="EF113" s="119"/>
      <c r="EG113" s="119"/>
      <c r="EH113" s="119"/>
      <c r="EI113" s="119"/>
      <c r="EJ113" s="119"/>
      <c r="EK113" s="119"/>
      <c r="EL113" s="119"/>
      <c r="EM113" s="119"/>
      <c r="EN113" s="119"/>
      <c r="EO113" s="119"/>
      <c r="EP113" s="119"/>
      <c r="EQ113" s="119"/>
      <c r="ER113" s="119"/>
      <c r="ES113" s="119"/>
      <c r="ET113" s="119"/>
      <c r="EU113" s="119"/>
      <c r="EV113" s="119"/>
      <c r="EW113" s="119"/>
      <c r="EX113" s="119"/>
      <c r="EY113" s="119"/>
      <c r="EZ113" s="119"/>
      <c r="FA113" s="119"/>
      <c r="FB113" s="119"/>
      <c r="FC113" s="119"/>
      <c r="FD113" s="119"/>
      <c r="FE113" s="119"/>
      <c r="FF113" s="119"/>
      <c r="FG113" s="119"/>
      <c r="FH113" s="119"/>
      <c r="FI113" s="119"/>
      <c r="FJ113" s="119"/>
      <c r="FK113" s="119"/>
      <c r="FL113" s="119"/>
      <c r="FM113" s="119"/>
      <c r="FN113" s="119"/>
      <c r="FO113" s="119"/>
      <c r="FP113" s="119"/>
      <c r="FQ113" s="119"/>
      <c r="FR113" s="119"/>
      <c r="FS113" s="119"/>
      <c r="FT113" s="119"/>
      <c r="FU113" s="119"/>
      <c r="FV113" s="119"/>
      <c r="FW113" s="119"/>
      <c r="FX113" s="119"/>
      <c r="FY113" s="119"/>
      <c r="FZ113" s="119"/>
      <c r="GA113" s="119"/>
      <c r="GB113" s="119"/>
      <c r="GC113" s="119"/>
      <c r="GD113" s="119"/>
      <c r="GE113" s="119"/>
      <c r="GF113" s="119"/>
      <c r="GG113" s="119"/>
      <c r="GH113" s="119"/>
      <c r="GI113" s="119"/>
      <c r="GJ113" s="119"/>
      <c r="GK113" s="119"/>
      <c r="GL113" s="119"/>
      <c r="GM113" s="119"/>
      <c r="GN113" s="119"/>
      <c r="GO113" s="119"/>
      <c r="GP113" s="119"/>
      <c r="GQ113" s="119"/>
      <c r="GR113" s="119"/>
      <c r="GS113" s="119"/>
      <c r="GT113" s="119"/>
      <c r="GU113" s="119"/>
      <c r="GV113" s="119"/>
      <c r="GW113" s="119"/>
      <c r="GX113" s="119"/>
      <c r="GY113" s="119"/>
      <c r="GZ113" s="119"/>
      <c r="HA113" s="119"/>
      <c r="HB113" s="119"/>
      <c r="HC113" s="119"/>
      <c r="HD113" s="119"/>
      <c r="HE113" s="119"/>
      <c r="HF113" s="119"/>
      <c r="HG113" s="119"/>
      <c r="HH113" s="119"/>
      <c r="HI113" s="119"/>
      <c r="HJ113" s="119"/>
      <c r="HK113" s="119"/>
      <c r="HL113" s="119"/>
      <c r="HM113" s="119"/>
      <c r="HN113" s="119"/>
      <c r="HO113" s="119"/>
      <c r="HP113" s="119"/>
      <c r="HQ113" s="119"/>
      <c r="HR113" s="119"/>
      <c r="HS113" s="119"/>
      <c r="HT113" s="119"/>
      <c r="HU113" s="119"/>
      <c r="HV113" s="119"/>
      <c r="HW113" s="119"/>
      <c r="HX113" s="119"/>
      <c r="HY113" s="119"/>
      <c r="HZ113" s="119"/>
      <c r="IA113" s="119"/>
      <c r="IB113" s="119"/>
      <c r="IC113" s="119"/>
      <c r="ID113" s="119"/>
      <c r="IE113" s="119"/>
      <c r="IF113" s="119"/>
      <c r="IG113" s="119"/>
      <c r="IH113" s="119"/>
      <c r="II113" s="119"/>
      <c r="IJ113" s="119"/>
      <c r="IK113" s="119"/>
      <c r="IL113" s="119"/>
      <c r="IM113" s="119"/>
      <c r="IN113" s="119"/>
      <c r="IO113" s="119"/>
      <c r="IP113" s="119"/>
      <c r="IQ113" s="119"/>
      <c r="IR113" s="119"/>
      <c r="IS113" s="119"/>
      <c r="IT113" s="119"/>
      <c r="IU113" s="119"/>
      <c r="IV113" s="119"/>
      <c r="IW113" s="119"/>
    </row>
    <row r="114" spans="1:257" s="187" customFormat="1" ht="34.5" customHeight="1" x14ac:dyDescent="0.35">
      <c r="A114" s="195">
        <v>105</v>
      </c>
      <c r="B114" s="575"/>
      <c r="C114" s="120">
        <v>38</v>
      </c>
      <c r="D114" s="121" t="s">
        <v>1010</v>
      </c>
      <c r="E114" s="127">
        <f>F114+G114+P117</f>
        <v>26102</v>
      </c>
      <c r="F114" s="127"/>
      <c r="G114" s="693"/>
      <c r="H114" s="224" t="s">
        <v>24</v>
      </c>
      <c r="I114" s="559"/>
      <c r="J114" s="559"/>
      <c r="K114" s="559"/>
      <c r="L114" s="559"/>
      <c r="M114" s="559"/>
      <c r="N114" s="1284"/>
      <c r="O114" s="693"/>
      <c r="P114" s="1272"/>
      <c r="Q114" s="694"/>
      <c r="R114" s="119"/>
      <c r="S114" s="119"/>
      <c r="T114" s="119"/>
      <c r="U114" s="119"/>
      <c r="V114" s="119"/>
      <c r="W114" s="119"/>
      <c r="X114" s="119"/>
      <c r="Y114" s="119"/>
      <c r="Z114" s="119"/>
      <c r="AA114" s="119"/>
      <c r="AB114" s="119"/>
      <c r="AC114" s="119"/>
      <c r="AD114" s="119"/>
      <c r="AE114" s="119"/>
      <c r="AF114" s="119"/>
      <c r="AG114" s="119"/>
      <c r="AH114" s="119"/>
      <c r="AI114" s="119"/>
      <c r="AJ114" s="119"/>
      <c r="AK114" s="119"/>
      <c r="AL114" s="119"/>
      <c r="AM114" s="119"/>
      <c r="AN114" s="119"/>
      <c r="AO114" s="119"/>
      <c r="AP114" s="119"/>
      <c r="AQ114" s="119"/>
      <c r="AR114" s="119"/>
      <c r="AS114" s="119"/>
      <c r="AT114" s="119"/>
      <c r="AU114" s="119"/>
      <c r="AV114" s="119"/>
      <c r="AW114" s="119"/>
      <c r="AX114" s="119"/>
      <c r="AY114" s="119"/>
      <c r="AZ114" s="119"/>
      <c r="BA114" s="119"/>
      <c r="BB114" s="119"/>
      <c r="BC114" s="119"/>
      <c r="BD114" s="119"/>
      <c r="BE114" s="119"/>
      <c r="BF114" s="119"/>
      <c r="BG114" s="119"/>
      <c r="BH114" s="119"/>
      <c r="BI114" s="119"/>
      <c r="BJ114" s="119"/>
      <c r="BK114" s="119"/>
      <c r="BL114" s="119"/>
      <c r="BM114" s="119"/>
      <c r="BN114" s="119"/>
      <c r="BO114" s="119"/>
      <c r="BP114" s="119"/>
      <c r="BQ114" s="119"/>
      <c r="BR114" s="119"/>
      <c r="BS114" s="119"/>
      <c r="BT114" s="119"/>
      <c r="BU114" s="119"/>
      <c r="BV114" s="119"/>
      <c r="BW114" s="119"/>
      <c r="BX114" s="119"/>
      <c r="BY114" s="119"/>
      <c r="BZ114" s="119"/>
      <c r="CA114" s="119"/>
      <c r="CB114" s="119"/>
      <c r="CC114" s="119"/>
      <c r="CD114" s="119"/>
      <c r="CE114" s="119"/>
      <c r="CF114" s="119"/>
      <c r="CG114" s="119"/>
      <c r="CH114" s="119"/>
      <c r="CI114" s="119"/>
      <c r="CJ114" s="119"/>
      <c r="CK114" s="119"/>
      <c r="CL114" s="119"/>
      <c r="CM114" s="119"/>
      <c r="CN114" s="119"/>
      <c r="CO114" s="119"/>
      <c r="CP114" s="119"/>
      <c r="CQ114" s="119"/>
      <c r="CR114" s="119"/>
      <c r="CS114" s="119"/>
      <c r="CT114" s="119"/>
      <c r="CU114" s="119"/>
      <c r="CV114" s="119"/>
      <c r="CW114" s="119"/>
      <c r="CX114" s="119"/>
      <c r="CY114" s="119"/>
      <c r="CZ114" s="119"/>
      <c r="DA114" s="119"/>
      <c r="DB114" s="119"/>
      <c r="DC114" s="119"/>
      <c r="DD114" s="119"/>
      <c r="DE114" s="119"/>
      <c r="DF114" s="119"/>
      <c r="DG114" s="119"/>
      <c r="DH114" s="119"/>
      <c r="DI114" s="119"/>
      <c r="DJ114" s="119"/>
      <c r="DK114" s="119"/>
      <c r="DL114" s="119"/>
      <c r="DM114" s="119"/>
      <c r="DN114" s="119"/>
      <c r="DO114" s="119"/>
      <c r="DP114" s="119"/>
      <c r="DQ114" s="119"/>
      <c r="DR114" s="119"/>
      <c r="DS114" s="119"/>
      <c r="DT114" s="119"/>
      <c r="DU114" s="119"/>
      <c r="DV114" s="119"/>
      <c r="DW114" s="119"/>
      <c r="DX114" s="119"/>
      <c r="DY114" s="119"/>
      <c r="DZ114" s="119"/>
      <c r="EA114" s="119"/>
      <c r="EB114" s="119"/>
      <c r="EC114" s="119"/>
      <c r="ED114" s="119"/>
      <c r="EE114" s="119"/>
      <c r="EF114" s="119"/>
      <c r="EG114" s="119"/>
      <c r="EH114" s="119"/>
      <c r="EI114" s="119"/>
      <c r="EJ114" s="119"/>
      <c r="EK114" s="119"/>
      <c r="EL114" s="119"/>
      <c r="EM114" s="119"/>
      <c r="EN114" s="119"/>
      <c r="EO114" s="119"/>
      <c r="EP114" s="119"/>
      <c r="EQ114" s="119"/>
      <c r="ER114" s="119"/>
      <c r="ES114" s="119"/>
      <c r="ET114" s="119"/>
      <c r="EU114" s="119"/>
      <c r="EV114" s="119"/>
      <c r="EW114" s="119"/>
      <c r="EX114" s="119"/>
      <c r="EY114" s="119"/>
      <c r="EZ114" s="119"/>
      <c r="FA114" s="119"/>
      <c r="FB114" s="119"/>
      <c r="FC114" s="119"/>
      <c r="FD114" s="119"/>
      <c r="FE114" s="119"/>
      <c r="FF114" s="119"/>
      <c r="FG114" s="119"/>
      <c r="FH114" s="119"/>
      <c r="FI114" s="119"/>
      <c r="FJ114" s="119"/>
      <c r="FK114" s="119"/>
      <c r="FL114" s="119"/>
      <c r="FM114" s="119"/>
      <c r="FN114" s="119"/>
      <c r="FO114" s="119"/>
      <c r="FP114" s="119"/>
      <c r="FQ114" s="119"/>
      <c r="FR114" s="119"/>
      <c r="FS114" s="119"/>
      <c r="FT114" s="119"/>
      <c r="FU114" s="119"/>
      <c r="FV114" s="119"/>
      <c r="FW114" s="119"/>
      <c r="FX114" s="119"/>
      <c r="FY114" s="119"/>
      <c r="FZ114" s="119"/>
      <c r="GA114" s="119"/>
      <c r="GB114" s="119"/>
      <c r="GC114" s="119"/>
      <c r="GD114" s="119"/>
      <c r="GE114" s="119"/>
      <c r="GF114" s="119"/>
      <c r="GG114" s="119"/>
      <c r="GH114" s="119"/>
      <c r="GI114" s="119"/>
      <c r="GJ114" s="119"/>
      <c r="GK114" s="119"/>
      <c r="GL114" s="119"/>
      <c r="GM114" s="119"/>
      <c r="GN114" s="119"/>
      <c r="GO114" s="119"/>
      <c r="GP114" s="119"/>
      <c r="GQ114" s="119"/>
      <c r="GR114" s="119"/>
      <c r="GS114" s="119"/>
      <c r="GT114" s="119"/>
      <c r="GU114" s="119"/>
      <c r="GV114" s="119"/>
      <c r="GW114" s="119"/>
      <c r="GX114" s="119"/>
      <c r="GY114" s="119"/>
      <c r="GZ114" s="119"/>
      <c r="HA114" s="119"/>
      <c r="HB114" s="119"/>
      <c r="HC114" s="119"/>
      <c r="HD114" s="119"/>
      <c r="HE114" s="119"/>
      <c r="HF114" s="119"/>
      <c r="HG114" s="119"/>
      <c r="HH114" s="119"/>
      <c r="HI114" s="119"/>
      <c r="HJ114" s="119"/>
      <c r="HK114" s="119"/>
      <c r="HL114" s="119"/>
      <c r="HM114" s="119"/>
      <c r="HN114" s="119"/>
      <c r="HO114" s="119"/>
      <c r="HP114" s="119"/>
      <c r="HQ114" s="119"/>
      <c r="HR114" s="119"/>
      <c r="HS114" s="119"/>
      <c r="HT114" s="119"/>
      <c r="HU114" s="119"/>
      <c r="HV114" s="119"/>
      <c r="HW114" s="119"/>
      <c r="HX114" s="119"/>
      <c r="HY114" s="119"/>
      <c r="HZ114" s="119"/>
      <c r="IA114" s="119"/>
      <c r="IB114" s="119"/>
      <c r="IC114" s="119"/>
      <c r="ID114" s="119"/>
      <c r="IE114" s="119"/>
      <c r="IF114" s="119"/>
      <c r="IG114" s="119"/>
      <c r="IH114" s="119"/>
      <c r="II114" s="119"/>
      <c r="IJ114" s="119"/>
      <c r="IK114" s="119"/>
      <c r="IL114" s="119"/>
      <c r="IM114" s="119"/>
      <c r="IN114" s="119"/>
      <c r="IO114" s="119"/>
      <c r="IP114" s="119"/>
      <c r="IQ114" s="119"/>
      <c r="IR114" s="119"/>
      <c r="IS114" s="119"/>
      <c r="IT114" s="119"/>
      <c r="IU114" s="119"/>
      <c r="IV114" s="119"/>
      <c r="IW114" s="119"/>
    </row>
    <row r="115" spans="1:257" s="187" customFormat="1" ht="18" customHeight="1" x14ac:dyDescent="0.35">
      <c r="A115" s="195">
        <v>106</v>
      </c>
      <c r="B115" s="575"/>
      <c r="C115" s="120"/>
      <c r="D115" s="1266" t="s">
        <v>808</v>
      </c>
      <c r="E115" s="127"/>
      <c r="F115" s="127"/>
      <c r="G115" s="693"/>
      <c r="H115" s="224"/>
      <c r="I115" s="559"/>
      <c r="J115" s="559"/>
      <c r="K115" s="559"/>
      <c r="L115" s="559"/>
      <c r="M115" s="559">
        <v>26102</v>
      </c>
      <c r="N115" s="1284"/>
      <c r="O115" s="576"/>
      <c r="P115" s="1275">
        <f>SUM(I115:N115)</f>
        <v>26102</v>
      </c>
      <c r="Q115" s="694"/>
      <c r="R115" s="119"/>
      <c r="S115" s="119"/>
      <c r="T115" s="119"/>
      <c r="U115" s="119"/>
      <c r="V115" s="119"/>
      <c r="W115" s="119"/>
      <c r="X115" s="119"/>
      <c r="Y115" s="119"/>
      <c r="Z115" s="119"/>
      <c r="AA115" s="119"/>
      <c r="AB115" s="119"/>
      <c r="AC115" s="119"/>
      <c r="AD115" s="119"/>
      <c r="AE115" s="119"/>
      <c r="AF115" s="119"/>
      <c r="AG115" s="119"/>
      <c r="AH115" s="119"/>
      <c r="AI115" s="119"/>
      <c r="AJ115" s="119"/>
      <c r="AK115" s="119"/>
      <c r="AL115" s="119"/>
      <c r="AM115" s="119"/>
      <c r="AN115" s="119"/>
      <c r="AO115" s="119"/>
      <c r="AP115" s="119"/>
      <c r="AQ115" s="119"/>
      <c r="AR115" s="119"/>
      <c r="AS115" s="119"/>
      <c r="AT115" s="119"/>
      <c r="AU115" s="119"/>
      <c r="AV115" s="119"/>
      <c r="AW115" s="119"/>
      <c r="AX115" s="119"/>
      <c r="AY115" s="119"/>
      <c r="AZ115" s="119"/>
      <c r="BA115" s="119"/>
      <c r="BB115" s="119"/>
      <c r="BC115" s="119"/>
      <c r="BD115" s="119"/>
      <c r="BE115" s="119"/>
      <c r="BF115" s="119"/>
      <c r="BG115" s="119"/>
      <c r="BH115" s="119"/>
      <c r="BI115" s="119"/>
      <c r="BJ115" s="119"/>
      <c r="BK115" s="119"/>
      <c r="BL115" s="119"/>
      <c r="BM115" s="119"/>
      <c r="BN115" s="119"/>
      <c r="BO115" s="119"/>
      <c r="BP115" s="119"/>
      <c r="BQ115" s="119"/>
      <c r="BR115" s="119"/>
      <c r="BS115" s="119"/>
      <c r="BT115" s="119"/>
      <c r="BU115" s="119"/>
      <c r="BV115" s="119"/>
      <c r="BW115" s="119"/>
      <c r="BX115" s="119"/>
      <c r="BY115" s="119"/>
      <c r="BZ115" s="119"/>
      <c r="CA115" s="119"/>
      <c r="CB115" s="119"/>
      <c r="CC115" s="119"/>
      <c r="CD115" s="119"/>
      <c r="CE115" s="119"/>
      <c r="CF115" s="119"/>
      <c r="CG115" s="119"/>
      <c r="CH115" s="119"/>
      <c r="CI115" s="119"/>
      <c r="CJ115" s="119"/>
      <c r="CK115" s="119"/>
      <c r="CL115" s="119"/>
      <c r="CM115" s="119"/>
      <c r="CN115" s="119"/>
      <c r="CO115" s="119"/>
      <c r="CP115" s="119"/>
      <c r="CQ115" s="119"/>
      <c r="CR115" s="119"/>
      <c r="CS115" s="119"/>
      <c r="CT115" s="119"/>
      <c r="CU115" s="119"/>
      <c r="CV115" s="119"/>
      <c r="CW115" s="119"/>
      <c r="CX115" s="119"/>
      <c r="CY115" s="119"/>
      <c r="CZ115" s="119"/>
      <c r="DA115" s="119"/>
      <c r="DB115" s="119"/>
      <c r="DC115" s="119"/>
      <c r="DD115" s="119"/>
      <c r="DE115" s="119"/>
      <c r="DF115" s="119"/>
      <c r="DG115" s="119"/>
      <c r="DH115" s="119"/>
      <c r="DI115" s="119"/>
      <c r="DJ115" s="119"/>
      <c r="DK115" s="119"/>
      <c r="DL115" s="119"/>
      <c r="DM115" s="119"/>
      <c r="DN115" s="119"/>
      <c r="DO115" s="119"/>
      <c r="DP115" s="119"/>
      <c r="DQ115" s="119"/>
      <c r="DR115" s="119"/>
      <c r="DS115" s="119"/>
      <c r="DT115" s="119"/>
      <c r="DU115" s="119"/>
      <c r="DV115" s="119"/>
      <c r="DW115" s="119"/>
      <c r="DX115" s="119"/>
      <c r="DY115" s="119"/>
      <c r="DZ115" s="119"/>
      <c r="EA115" s="119"/>
      <c r="EB115" s="119"/>
      <c r="EC115" s="119"/>
      <c r="ED115" s="119"/>
      <c r="EE115" s="119"/>
      <c r="EF115" s="119"/>
      <c r="EG115" s="119"/>
      <c r="EH115" s="119"/>
      <c r="EI115" s="119"/>
      <c r="EJ115" s="119"/>
      <c r="EK115" s="119"/>
      <c r="EL115" s="119"/>
      <c r="EM115" s="119"/>
      <c r="EN115" s="119"/>
      <c r="EO115" s="119"/>
      <c r="EP115" s="119"/>
      <c r="EQ115" s="119"/>
      <c r="ER115" s="119"/>
      <c r="ES115" s="119"/>
      <c r="ET115" s="119"/>
      <c r="EU115" s="119"/>
      <c r="EV115" s="119"/>
      <c r="EW115" s="119"/>
      <c r="EX115" s="119"/>
      <c r="EY115" s="119"/>
      <c r="EZ115" s="119"/>
      <c r="FA115" s="119"/>
      <c r="FB115" s="119"/>
      <c r="FC115" s="119"/>
      <c r="FD115" s="119"/>
      <c r="FE115" s="119"/>
      <c r="FF115" s="119"/>
      <c r="FG115" s="119"/>
      <c r="FH115" s="119"/>
      <c r="FI115" s="119"/>
      <c r="FJ115" s="119"/>
      <c r="FK115" s="119"/>
      <c r="FL115" s="119"/>
      <c r="FM115" s="119"/>
      <c r="FN115" s="119"/>
      <c r="FO115" s="119"/>
      <c r="FP115" s="119"/>
      <c r="FQ115" s="119"/>
      <c r="FR115" s="119"/>
      <c r="FS115" s="119"/>
      <c r="FT115" s="119"/>
      <c r="FU115" s="119"/>
      <c r="FV115" s="119"/>
      <c r="FW115" s="119"/>
      <c r="FX115" s="119"/>
      <c r="FY115" s="119"/>
      <c r="FZ115" s="119"/>
      <c r="GA115" s="119"/>
      <c r="GB115" s="119"/>
      <c r="GC115" s="119"/>
      <c r="GD115" s="119"/>
      <c r="GE115" s="119"/>
      <c r="GF115" s="119"/>
      <c r="GG115" s="119"/>
      <c r="GH115" s="119"/>
      <c r="GI115" s="119"/>
      <c r="GJ115" s="119"/>
      <c r="GK115" s="119"/>
      <c r="GL115" s="119"/>
      <c r="GM115" s="119"/>
      <c r="GN115" s="119"/>
      <c r="GO115" s="119"/>
      <c r="GP115" s="119"/>
      <c r="GQ115" s="119"/>
      <c r="GR115" s="119"/>
      <c r="GS115" s="119"/>
      <c r="GT115" s="119"/>
      <c r="GU115" s="119"/>
      <c r="GV115" s="119"/>
      <c r="GW115" s="119"/>
      <c r="GX115" s="119"/>
      <c r="GY115" s="119"/>
      <c r="GZ115" s="119"/>
      <c r="HA115" s="119"/>
      <c r="HB115" s="119"/>
      <c r="HC115" s="119"/>
      <c r="HD115" s="119"/>
      <c r="HE115" s="119"/>
      <c r="HF115" s="119"/>
      <c r="HG115" s="119"/>
      <c r="HH115" s="119"/>
      <c r="HI115" s="119"/>
      <c r="HJ115" s="119"/>
      <c r="HK115" s="119"/>
      <c r="HL115" s="119"/>
      <c r="HM115" s="119"/>
      <c r="HN115" s="119"/>
      <c r="HO115" s="119"/>
      <c r="HP115" s="119"/>
      <c r="HQ115" s="119"/>
      <c r="HR115" s="119"/>
      <c r="HS115" s="119"/>
      <c r="HT115" s="119"/>
      <c r="HU115" s="119"/>
      <c r="HV115" s="119"/>
      <c r="HW115" s="119"/>
      <c r="HX115" s="119"/>
      <c r="HY115" s="119"/>
      <c r="HZ115" s="119"/>
      <c r="IA115" s="119"/>
      <c r="IB115" s="119"/>
      <c r="IC115" s="119"/>
      <c r="ID115" s="119"/>
      <c r="IE115" s="119"/>
      <c r="IF115" s="119"/>
      <c r="IG115" s="119"/>
      <c r="IH115" s="119"/>
      <c r="II115" s="119"/>
      <c r="IJ115" s="119"/>
      <c r="IK115" s="119"/>
      <c r="IL115" s="119"/>
      <c r="IM115" s="119"/>
      <c r="IN115" s="119"/>
      <c r="IO115" s="119"/>
      <c r="IP115" s="119"/>
      <c r="IQ115" s="119"/>
      <c r="IR115" s="119"/>
      <c r="IS115" s="119"/>
      <c r="IT115" s="119"/>
      <c r="IU115" s="119"/>
      <c r="IV115" s="119"/>
      <c r="IW115" s="119"/>
    </row>
    <row r="116" spans="1:257" s="187" customFormat="1" ht="18" customHeight="1" x14ac:dyDescent="0.35">
      <c r="A116" s="195">
        <v>107</v>
      </c>
      <c r="B116" s="575"/>
      <c r="C116" s="120"/>
      <c r="D116" s="1265" t="s">
        <v>656</v>
      </c>
      <c r="E116" s="127"/>
      <c r="F116" s="127"/>
      <c r="G116" s="693"/>
      <c r="H116" s="224"/>
      <c r="I116" s="559"/>
      <c r="J116" s="559"/>
      <c r="K116" s="1282"/>
      <c r="L116" s="559"/>
      <c r="M116" s="1282"/>
      <c r="N116" s="1284"/>
      <c r="O116" s="576"/>
      <c r="P116" s="1276">
        <f t="shared" ref="P116:P117" si="29">SUM(I116:N116)</f>
        <v>0</v>
      </c>
      <c r="Q116" s="694"/>
      <c r="R116" s="119"/>
      <c r="S116" s="119"/>
      <c r="T116" s="119"/>
      <c r="U116" s="119"/>
      <c r="V116" s="119"/>
      <c r="W116" s="119"/>
      <c r="X116" s="119"/>
      <c r="Y116" s="119"/>
      <c r="Z116" s="119"/>
      <c r="AA116" s="119"/>
      <c r="AB116" s="119"/>
      <c r="AC116" s="119"/>
      <c r="AD116" s="119"/>
      <c r="AE116" s="119"/>
      <c r="AF116" s="119"/>
      <c r="AG116" s="119"/>
      <c r="AH116" s="119"/>
      <c r="AI116" s="119"/>
      <c r="AJ116" s="119"/>
      <c r="AK116" s="119"/>
      <c r="AL116" s="119"/>
      <c r="AM116" s="119"/>
      <c r="AN116" s="119"/>
      <c r="AO116" s="119"/>
      <c r="AP116" s="119"/>
      <c r="AQ116" s="119"/>
      <c r="AR116" s="119"/>
      <c r="AS116" s="119"/>
      <c r="AT116" s="119"/>
      <c r="AU116" s="119"/>
      <c r="AV116" s="119"/>
      <c r="AW116" s="119"/>
      <c r="AX116" s="119"/>
      <c r="AY116" s="119"/>
      <c r="AZ116" s="119"/>
      <c r="BA116" s="119"/>
      <c r="BB116" s="119"/>
      <c r="BC116" s="119"/>
      <c r="BD116" s="119"/>
      <c r="BE116" s="119"/>
      <c r="BF116" s="119"/>
      <c r="BG116" s="119"/>
      <c r="BH116" s="119"/>
      <c r="BI116" s="119"/>
      <c r="BJ116" s="119"/>
      <c r="BK116" s="119"/>
      <c r="BL116" s="119"/>
      <c r="BM116" s="119"/>
      <c r="BN116" s="119"/>
      <c r="BO116" s="119"/>
      <c r="BP116" s="119"/>
      <c r="BQ116" s="119"/>
      <c r="BR116" s="119"/>
      <c r="BS116" s="119"/>
      <c r="BT116" s="119"/>
      <c r="BU116" s="119"/>
      <c r="BV116" s="119"/>
      <c r="BW116" s="119"/>
      <c r="BX116" s="119"/>
      <c r="BY116" s="119"/>
      <c r="BZ116" s="119"/>
      <c r="CA116" s="119"/>
      <c r="CB116" s="119"/>
      <c r="CC116" s="119"/>
      <c r="CD116" s="119"/>
      <c r="CE116" s="119"/>
      <c r="CF116" s="119"/>
      <c r="CG116" s="119"/>
      <c r="CH116" s="119"/>
      <c r="CI116" s="119"/>
      <c r="CJ116" s="119"/>
      <c r="CK116" s="119"/>
      <c r="CL116" s="119"/>
      <c r="CM116" s="119"/>
      <c r="CN116" s="119"/>
      <c r="CO116" s="119"/>
      <c r="CP116" s="119"/>
      <c r="CQ116" s="119"/>
      <c r="CR116" s="119"/>
      <c r="CS116" s="119"/>
      <c r="CT116" s="119"/>
      <c r="CU116" s="119"/>
      <c r="CV116" s="119"/>
      <c r="CW116" s="119"/>
      <c r="CX116" s="119"/>
      <c r="CY116" s="119"/>
      <c r="CZ116" s="119"/>
      <c r="DA116" s="119"/>
      <c r="DB116" s="119"/>
      <c r="DC116" s="119"/>
      <c r="DD116" s="119"/>
      <c r="DE116" s="119"/>
      <c r="DF116" s="119"/>
      <c r="DG116" s="119"/>
      <c r="DH116" s="119"/>
      <c r="DI116" s="119"/>
      <c r="DJ116" s="119"/>
      <c r="DK116" s="119"/>
      <c r="DL116" s="119"/>
      <c r="DM116" s="119"/>
      <c r="DN116" s="119"/>
      <c r="DO116" s="119"/>
      <c r="DP116" s="119"/>
      <c r="DQ116" s="119"/>
      <c r="DR116" s="119"/>
      <c r="DS116" s="119"/>
      <c r="DT116" s="119"/>
      <c r="DU116" s="119"/>
      <c r="DV116" s="119"/>
      <c r="DW116" s="119"/>
      <c r="DX116" s="119"/>
      <c r="DY116" s="119"/>
      <c r="DZ116" s="119"/>
      <c r="EA116" s="119"/>
      <c r="EB116" s="119"/>
      <c r="EC116" s="119"/>
      <c r="ED116" s="119"/>
      <c r="EE116" s="119"/>
      <c r="EF116" s="119"/>
      <c r="EG116" s="119"/>
      <c r="EH116" s="119"/>
      <c r="EI116" s="119"/>
      <c r="EJ116" s="119"/>
      <c r="EK116" s="119"/>
      <c r="EL116" s="119"/>
      <c r="EM116" s="119"/>
      <c r="EN116" s="119"/>
      <c r="EO116" s="119"/>
      <c r="EP116" s="119"/>
      <c r="EQ116" s="119"/>
      <c r="ER116" s="119"/>
      <c r="ES116" s="119"/>
      <c r="ET116" s="119"/>
      <c r="EU116" s="119"/>
      <c r="EV116" s="119"/>
      <c r="EW116" s="119"/>
      <c r="EX116" s="119"/>
      <c r="EY116" s="119"/>
      <c r="EZ116" s="119"/>
      <c r="FA116" s="119"/>
      <c r="FB116" s="119"/>
      <c r="FC116" s="119"/>
      <c r="FD116" s="119"/>
      <c r="FE116" s="119"/>
      <c r="FF116" s="119"/>
      <c r="FG116" s="119"/>
      <c r="FH116" s="119"/>
      <c r="FI116" s="119"/>
      <c r="FJ116" s="119"/>
      <c r="FK116" s="119"/>
      <c r="FL116" s="119"/>
      <c r="FM116" s="119"/>
      <c r="FN116" s="119"/>
      <c r="FO116" s="119"/>
      <c r="FP116" s="119"/>
      <c r="FQ116" s="119"/>
      <c r="FR116" s="119"/>
      <c r="FS116" s="119"/>
      <c r="FT116" s="119"/>
      <c r="FU116" s="119"/>
      <c r="FV116" s="119"/>
      <c r="FW116" s="119"/>
      <c r="FX116" s="119"/>
      <c r="FY116" s="119"/>
      <c r="FZ116" s="119"/>
      <c r="GA116" s="119"/>
      <c r="GB116" s="119"/>
      <c r="GC116" s="119"/>
      <c r="GD116" s="119"/>
      <c r="GE116" s="119"/>
      <c r="GF116" s="119"/>
      <c r="GG116" s="119"/>
      <c r="GH116" s="119"/>
      <c r="GI116" s="119"/>
      <c r="GJ116" s="119"/>
      <c r="GK116" s="119"/>
      <c r="GL116" s="119"/>
      <c r="GM116" s="119"/>
      <c r="GN116" s="119"/>
      <c r="GO116" s="119"/>
      <c r="GP116" s="119"/>
      <c r="GQ116" s="119"/>
      <c r="GR116" s="119"/>
      <c r="GS116" s="119"/>
      <c r="GT116" s="119"/>
      <c r="GU116" s="119"/>
      <c r="GV116" s="119"/>
      <c r="GW116" s="119"/>
      <c r="GX116" s="119"/>
      <c r="GY116" s="119"/>
      <c r="GZ116" s="119"/>
      <c r="HA116" s="119"/>
      <c r="HB116" s="119"/>
      <c r="HC116" s="119"/>
      <c r="HD116" s="119"/>
      <c r="HE116" s="119"/>
      <c r="HF116" s="119"/>
      <c r="HG116" s="119"/>
      <c r="HH116" s="119"/>
      <c r="HI116" s="119"/>
      <c r="HJ116" s="119"/>
      <c r="HK116" s="119"/>
      <c r="HL116" s="119"/>
      <c r="HM116" s="119"/>
      <c r="HN116" s="119"/>
      <c r="HO116" s="119"/>
      <c r="HP116" s="119"/>
      <c r="HQ116" s="119"/>
      <c r="HR116" s="119"/>
      <c r="HS116" s="119"/>
      <c r="HT116" s="119"/>
      <c r="HU116" s="119"/>
      <c r="HV116" s="119"/>
      <c r="HW116" s="119"/>
      <c r="HX116" s="119"/>
      <c r="HY116" s="119"/>
      <c r="HZ116" s="119"/>
      <c r="IA116" s="119"/>
      <c r="IB116" s="119"/>
      <c r="IC116" s="119"/>
      <c r="ID116" s="119"/>
      <c r="IE116" s="119"/>
      <c r="IF116" s="119"/>
      <c r="IG116" s="119"/>
      <c r="IH116" s="119"/>
      <c r="II116" s="119"/>
      <c r="IJ116" s="119"/>
      <c r="IK116" s="119"/>
      <c r="IL116" s="119"/>
      <c r="IM116" s="119"/>
      <c r="IN116" s="119"/>
      <c r="IO116" s="119"/>
      <c r="IP116" s="119"/>
      <c r="IQ116" s="119"/>
      <c r="IR116" s="119"/>
      <c r="IS116" s="119"/>
      <c r="IT116" s="119"/>
      <c r="IU116" s="119"/>
      <c r="IV116" s="119"/>
      <c r="IW116" s="119"/>
    </row>
    <row r="117" spans="1:257" s="187" customFormat="1" ht="18" customHeight="1" x14ac:dyDescent="0.35">
      <c r="A117" s="195">
        <v>108</v>
      </c>
      <c r="B117" s="692"/>
      <c r="C117" s="548"/>
      <c r="D117" s="1268" t="s">
        <v>862</v>
      </c>
      <c r="E117" s="238"/>
      <c r="F117" s="238"/>
      <c r="G117" s="576"/>
      <c r="H117" s="240"/>
      <c r="I117" s="1270"/>
      <c r="J117" s="1270"/>
      <c r="K117" s="1270"/>
      <c r="L117" s="1270"/>
      <c r="M117" s="1270">
        <f>SUM(M115:M116)</f>
        <v>26102</v>
      </c>
      <c r="N117" s="1271"/>
      <c r="O117" s="576"/>
      <c r="P117" s="1275">
        <f t="shared" si="29"/>
        <v>26102</v>
      </c>
      <c r="Q117" s="1246"/>
      <c r="R117" s="119"/>
      <c r="S117" s="119"/>
      <c r="T117" s="119"/>
      <c r="U117" s="119"/>
      <c r="V117" s="119"/>
      <c r="W117" s="119"/>
      <c r="X117" s="119"/>
      <c r="Y117" s="119"/>
      <c r="Z117" s="119"/>
      <c r="AA117" s="119"/>
      <c r="AB117" s="119"/>
      <c r="AC117" s="119"/>
      <c r="AD117" s="119"/>
      <c r="AE117" s="119"/>
      <c r="AF117" s="119"/>
      <c r="AG117" s="119"/>
      <c r="AH117" s="119"/>
      <c r="AI117" s="119"/>
      <c r="AJ117" s="119"/>
      <c r="AK117" s="119"/>
      <c r="AL117" s="119"/>
      <c r="AM117" s="119"/>
      <c r="AN117" s="119"/>
      <c r="AO117" s="119"/>
      <c r="AP117" s="119"/>
      <c r="AQ117" s="119"/>
      <c r="AR117" s="119"/>
      <c r="AS117" s="119"/>
      <c r="AT117" s="119"/>
      <c r="AU117" s="119"/>
      <c r="AV117" s="119"/>
      <c r="AW117" s="119"/>
      <c r="AX117" s="119"/>
      <c r="AY117" s="119"/>
      <c r="AZ117" s="119"/>
      <c r="BA117" s="119"/>
      <c r="BB117" s="119"/>
      <c r="BC117" s="119"/>
      <c r="BD117" s="119"/>
      <c r="BE117" s="119"/>
      <c r="BF117" s="119"/>
      <c r="BG117" s="119"/>
      <c r="BH117" s="119"/>
      <c r="BI117" s="119"/>
      <c r="BJ117" s="119"/>
      <c r="BK117" s="119"/>
      <c r="BL117" s="119"/>
      <c r="BM117" s="119"/>
      <c r="BN117" s="119"/>
      <c r="BO117" s="119"/>
      <c r="BP117" s="119"/>
      <c r="BQ117" s="119"/>
      <c r="BR117" s="119"/>
      <c r="BS117" s="119"/>
      <c r="BT117" s="119"/>
      <c r="BU117" s="119"/>
      <c r="BV117" s="119"/>
      <c r="BW117" s="119"/>
      <c r="BX117" s="119"/>
      <c r="BY117" s="119"/>
      <c r="BZ117" s="119"/>
      <c r="CA117" s="119"/>
      <c r="CB117" s="119"/>
      <c r="CC117" s="119"/>
      <c r="CD117" s="119"/>
      <c r="CE117" s="119"/>
      <c r="CF117" s="119"/>
      <c r="CG117" s="119"/>
      <c r="CH117" s="119"/>
      <c r="CI117" s="119"/>
      <c r="CJ117" s="119"/>
      <c r="CK117" s="119"/>
      <c r="CL117" s="119"/>
      <c r="CM117" s="119"/>
      <c r="CN117" s="119"/>
      <c r="CO117" s="119"/>
      <c r="CP117" s="119"/>
      <c r="CQ117" s="119"/>
      <c r="CR117" s="119"/>
      <c r="CS117" s="119"/>
      <c r="CT117" s="119"/>
      <c r="CU117" s="119"/>
      <c r="CV117" s="119"/>
      <c r="CW117" s="119"/>
      <c r="CX117" s="119"/>
      <c r="CY117" s="119"/>
      <c r="CZ117" s="119"/>
      <c r="DA117" s="119"/>
      <c r="DB117" s="119"/>
      <c r="DC117" s="119"/>
      <c r="DD117" s="119"/>
      <c r="DE117" s="119"/>
      <c r="DF117" s="119"/>
      <c r="DG117" s="119"/>
      <c r="DH117" s="119"/>
      <c r="DI117" s="119"/>
      <c r="DJ117" s="119"/>
      <c r="DK117" s="119"/>
      <c r="DL117" s="119"/>
      <c r="DM117" s="119"/>
      <c r="DN117" s="119"/>
      <c r="DO117" s="119"/>
      <c r="DP117" s="119"/>
      <c r="DQ117" s="119"/>
      <c r="DR117" s="119"/>
      <c r="DS117" s="119"/>
      <c r="DT117" s="119"/>
      <c r="DU117" s="119"/>
      <c r="DV117" s="119"/>
      <c r="DW117" s="119"/>
      <c r="DX117" s="119"/>
      <c r="DY117" s="119"/>
      <c r="DZ117" s="119"/>
      <c r="EA117" s="119"/>
      <c r="EB117" s="119"/>
      <c r="EC117" s="119"/>
      <c r="ED117" s="119"/>
      <c r="EE117" s="119"/>
      <c r="EF117" s="119"/>
      <c r="EG117" s="119"/>
      <c r="EH117" s="119"/>
      <c r="EI117" s="119"/>
      <c r="EJ117" s="119"/>
      <c r="EK117" s="119"/>
      <c r="EL117" s="119"/>
      <c r="EM117" s="119"/>
      <c r="EN117" s="119"/>
      <c r="EO117" s="119"/>
      <c r="EP117" s="119"/>
      <c r="EQ117" s="119"/>
      <c r="ER117" s="119"/>
      <c r="ES117" s="119"/>
      <c r="ET117" s="119"/>
      <c r="EU117" s="119"/>
      <c r="EV117" s="119"/>
      <c r="EW117" s="119"/>
      <c r="EX117" s="119"/>
      <c r="EY117" s="119"/>
      <c r="EZ117" s="119"/>
      <c r="FA117" s="119"/>
      <c r="FB117" s="119"/>
      <c r="FC117" s="119"/>
      <c r="FD117" s="119"/>
      <c r="FE117" s="119"/>
      <c r="FF117" s="119"/>
      <c r="FG117" s="119"/>
      <c r="FH117" s="119"/>
      <c r="FI117" s="119"/>
      <c r="FJ117" s="119"/>
      <c r="FK117" s="119"/>
      <c r="FL117" s="119"/>
      <c r="FM117" s="119"/>
      <c r="FN117" s="119"/>
      <c r="FO117" s="119"/>
      <c r="FP117" s="119"/>
      <c r="FQ117" s="119"/>
      <c r="FR117" s="119"/>
      <c r="FS117" s="119"/>
      <c r="FT117" s="119"/>
      <c r="FU117" s="119"/>
      <c r="FV117" s="119"/>
      <c r="FW117" s="119"/>
      <c r="FX117" s="119"/>
      <c r="FY117" s="119"/>
      <c r="FZ117" s="119"/>
      <c r="GA117" s="119"/>
      <c r="GB117" s="119"/>
      <c r="GC117" s="119"/>
      <c r="GD117" s="119"/>
      <c r="GE117" s="119"/>
      <c r="GF117" s="119"/>
      <c r="GG117" s="119"/>
      <c r="GH117" s="119"/>
      <c r="GI117" s="119"/>
      <c r="GJ117" s="119"/>
      <c r="GK117" s="119"/>
      <c r="GL117" s="119"/>
      <c r="GM117" s="119"/>
      <c r="GN117" s="119"/>
      <c r="GO117" s="119"/>
      <c r="GP117" s="119"/>
      <c r="GQ117" s="119"/>
      <c r="GR117" s="119"/>
      <c r="GS117" s="119"/>
      <c r="GT117" s="119"/>
      <c r="GU117" s="119"/>
      <c r="GV117" s="119"/>
      <c r="GW117" s="119"/>
      <c r="GX117" s="119"/>
      <c r="GY117" s="119"/>
      <c r="GZ117" s="119"/>
      <c r="HA117" s="119"/>
      <c r="HB117" s="119"/>
      <c r="HC117" s="119"/>
      <c r="HD117" s="119"/>
      <c r="HE117" s="119"/>
      <c r="HF117" s="119"/>
      <c r="HG117" s="119"/>
      <c r="HH117" s="119"/>
      <c r="HI117" s="119"/>
      <c r="HJ117" s="119"/>
      <c r="HK117" s="119"/>
      <c r="HL117" s="119"/>
      <c r="HM117" s="119"/>
      <c r="HN117" s="119"/>
      <c r="HO117" s="119"/>
      <c r="HP117" s="119"/>
      <c r="HQ117" s="119"/>
      <c r="HR117" s="119"/>
      <c r="HS117" s="119"/>
      <c r="HT117" s="119"/>
      <c r="HU117" s="119"/>
      <c r="HV117" s="119"/>
      <c r="HW117" s="119"/>
      <c r="HX117" s="119"/>
      <c r="HY117" s="119"/>
      <c r="HZ117" s="119"/>
      <c r="IA117" s="119"/>
      <c r="IB117" s="119"/>
      <c r="IC117" s="119"/>
      <c r="ID117" s="119"/>
      <c r="IE117" s="119"/>
      <c r="IF117" s="119"/>
      <c r="IG117" s="119"/>
      <c r="IH117" s="119"/>
      <c r="II117" s="119"/>
      <c r="IJ117" s="119"/>
      <c r="IK117" s="119"/>
      <c r="IL117" s="119"/>
      <c r="IM117" s="119"/>
      <c r="IN117" s="119"/>
      <c r="IO117" s="119"/>
      <c r="IP117" s="119"/>
      <c r="IQ117" s="119"/>
      <c r="IR117" s="119"/>
      <c r="IS117" s="119"/>
      <c r="IT117" s="119"/>
      <c r="IU117" s="119"/>
      <c r="IV117" s="119"/>
      <c r="IW117" s="119"/>
    </row>
    <row r="118" spans="1:257" s="187" customFormat="1" ht="34.5" customHeight="1" x14ac:dyDescent="0.35">
      <c r="A118" s="195">
        <v>109</v>
      </c>
      <c r="B118" s="692"/>
      <c r="C118" s="120">
        <v>39</v>
      </c>
      <c r="D118" s="121" t="s">
        <v>1011</v>
      </c>
      <c r="E118" s="127">
        <f>F118+G118+P121</f>
        <v>5000</v>
      </c>
      <c r="F118" s="127"/>
      <c r="G118" s="693"/>
      <c r="H118" s="224" t="s">
        <v>24</v>
      </c>
      <c r="I118" s="559"/>
      <c r="J118" s="559"/>
      <c r="K118" s="559"/>
      <c r="L118" s="559"/>
      <c r="M118" s="559"/>
      <c r="N118" s="1284"/>
      <c r="O118" s="693"/>
      <c r="P118" s="1272"/>
      <c r="Q118" s="694"/>
      <c r="R118" s="119"/>
      <c r="S118" s="119"/>
      <c r="T118" s="119"/>
      <c r="U118" s="119"/>
      <c r="V118" s="119"/>
      <c r="W118" s="119"/>
      <c r="X118" s="119"/>
      <c r="Y118" s="119"/>
      <c r="Z118" s="119"/>
      <c r="AA118" s="119"/>
      <c r="AB118" s="119"/>
      <c r="AC118" s="119"/>
      <c r="AD118" s="119"/>
      <c r="AE118" s="119"/>
      <c r="AF118" s="119"/>
      <c r="AG118" s="119"/>
      <c r="AH118" s="119"/>
      <c r="AI118" s="119"/>
      <c r="AJ118" s="119"/>
      <c r="AK118" s="119"/>
      <c r="AL118" s="119"/>
      <c r="AM118" s="119"/>
      <c r="AN118" s="119"/>
      <c r="AO118" s="119"/>
      <c r="AP118" s="119"/>
      <c r="AQ118" s="119"/>
      <c r="AR118" s="119"/>
      <c r="AS118" s="119"/>
      <c r="AT118" s="119"/>
      <c r="AU118" s="119"/>
      <c r="AV118" s="119"/>
      <c r="AW118" s="119"/>
      <c r="AX118" s="119"/>
      <c r="AY118" s="119"/>
      <c r="AZ118" s="119"/>
      <c r="BA118" s="119"/>
      <c r="BB118" s="119"/>
      <c r="BC118" s="119"/>
      <c r="BD118" s="119"/>
      <c r="BE118" s="119"/>
      <c r="BF118" s="119"/>
      <c r="BG118" s="119"/>
      <c r="BH118" s="119"/>
      <c r="BI118" s="119"/>
      <c r="BJ118" s="119"/>
      <c r="BK118" s="119"/>
      <c r="BL118" s="119"/>
      <c r="BM118" s="119"/>
      <c r="BN118" s="119"/>
      <c r="BO118" s="119"/>
      <c r="BP118" s="119"/>
      <c r="BQ118" s="119"/>
      <c r="BR118" s="119"/>
      <c r="BS118" s="119"/>
      <c r="BT118" s="119"/>
      <c r="BU118" s="119"/>
      <c r="BV118" s="119"/>
      <c r="BW118" s="119"/>
      <c r="BX118" s="119"/>
      <c r="BY118" s="119"/>
      <c r="BZ118" s="119"/>
      <c r="CA118" s="119"/>
      <c r="CB118" s="119"/>
      <c r="CC118" s="119"/>
      <c r="CD118" s="119"/>
      <c r="CE118" s="119"/>
      <c r="CF118" s="119"/>
      <c r="CG118" s="119"/>
      <c r="CH118" s="119"/>
      <c r="CI118" s="119"/>
      <c r="CJ118" s="119"/>
      <c r="CK118" s="119"/>
      <c r="CL118" s="119"/>
      <c r="CM118" s="119"/>
      <c r="CN118" s="119"/>
      <c r="CO118" s="119"/>
      <c r="CP118" s="119"/>
      <c r="CQ118" s="119"/>
      <c r="CR118" s="119"/>
      <c r="CS118" s="119"/>
      <c r="CT118" s="119"/>
      <c r="CU118" s="119"/>
      <c r="CV118" s="119"/>
      <c r="CW118" s="119"/>
      <c r="CX118" s="119"/>
      <c r="CY118" s="119"/>
      <c r="CZ118" s="119"/>
      <c r="DA118" s="119"/>
      <c r="DB118" s="119"/>
      <c r="DC118" s="119"/>
      <c r="DD118" s="119"/>
      <c r="DE118" s="119"/>
      <c r="DF118" s="119"/>
      <c r="DG118" s="119"/>
      <c r="DH118" s="119"/>
      <c r="DI118" s="119"/>
      <c r="DJ118" s="119"/>
      <c r="DK118" s="119"/>
      <c r="DL118" s="119"/>
      <c r="DM118" s="119"/>
      <c r="DN118" s="119"/>
      <c r="DO118" s="119"/>
      <c r="DP118" s="119"/>
      <c r="DQ118" s="119"/>
      <c r="DR118" s="119"/>
      <c r="DS118" s="119"/>
      <c r="DT118" s="119"/>
      <c r="DU118" s="119"/>
      <c r="DV118" s="119"/>
      <c r="DW118" s="119"/>
      <c r="DX118" s="119"/>
      <c r="DY118" s="119"/>
      <c r="DZ118" s="119"/>
      <c r="EA118" s="119"/>
      <c r="EB118" s="119"/>
      <c r="EC118" s="119"/>
      <c r="ED118" s="119"/>
      <c r="EE118" s="119"/>
      <c r="EF118" s="119"/>
      <c r="EG118" s="119"/>
      <c r="EH118" s="119"/>
      <c r="EI118" s="119"/>
      <c r="EJ118" s="119"/>
      <c r="EK118" s="119"/>
      <c r="EL118" s="119"/>
      <c r="EM118" s="119"/>
      <c r="EN118" s="119"/>
      <c r="EO118" s="119"/>
      <c r="EP118" s="119"/>
      <c r="EQ118" s="119"/>
      <c r="ER118" s="119"/>
      <c r="ES118" s="119"/>
      <c r="ET118" s="119"/>
      <c r="EU118" s="119"/>
      <c r="EV118" s="119"/>
      <c r="EW118" s="119"/>
      <c r="EX118" s="119"/>
      <c r="EY118" s="119"/>
      <c r="EZ118" s="119"/>
      <c r="FA118" s="119"/>
      <c r="FB118" s="119"/>
      <c r="FC118" s="119"/>
      <c r="FD118" s="119"/>
      <c r="FE118" s="119"/>
      <c r="FF118" s="119"/>
      <c r="FG118" s="119"/>
      <c r="FH118" s="119"/>
      <c r="FI118" s="119"/>
      <c r="FJ118" s="119"/>
      <c r="FK118" s="119"/>
      <c r="FL118" s="119"/>
      <c r="FM118" s="119"/>
      <c r="FN118" s="119"/>
      <c r="FO118" s="119"/>
      <c r="FP118" s="119"/>
      <c r="FQ118" s="119"/>
      <c r="FR118" s="119"/>
      <c r="FS118" s="119"/>
      <c r="FT118" s="119"/>
      <c r="FU118" s="119"/>
      <c r="FV118" s="119"/>
      <c r="FW118" s="119"/>
      <c r="FX118" s="119"/>
      <c r="FY118" s="119"/>
      <c r="FZ118" s="119"/>
      <c r="GA118" s="119"/>
      <c r="GB118" s="119"/>
      <c r="GC118" s="119"/>
      <c r="GD118" s="119"/>
      <c r="GE118" s="119"/>
      <c r="GF118" s="119"/>
      <c r="GG118" s="119"/>
      <c r="GH118" s="119"/>
      <c r="GI118" s="119"/>
      <c r="GJ118" s="119"/>
      <c r="GK118" s="119"/>
      <c r="GL118" s="119"/>
      <c r="GM118" s="119"/>
      <c r="GN118" s="119"/>
      <c r="GO118" s="119"/>
      <c r="GP118" s="119"/>
      <c r="GQ118" s="119"/>
      <c r="GR118" s="119"/>
      <c r="GS118" s="119"/>
      <c r="GT118" s="119"/>
      <c r="GU118" s="119"/>
      <c r="GV118" s="119"/>
      <c r="GW118" s="119"/>
      <c r="GX118" s="119"/>
      <c r="GY118" s="119"/>
      <c r="GZ118" s="119"/>
      <c r="HA118" s="119"/>
      <c r="HB118" s="119"/>
      <c r="HC118" s="119"/>
      <c r="HD118" s="119"/>
      <c r="HE118" s="119"/>
      <c r="HF118" s="119"/>
      <c r="HG118" s="119"/>
      <c r="HH118" s="119"/>
      <c r="HI118" s="119"/>
      <c r="HJ118" s="119"/>
      <c r="HK118" s="119"/>
      <c r="HL118" s="119"/>
      <c r="HM118" s="119"/>
      <c r="HN118" s="119"/>
      <c r="HO118" s="119"/>
      <c r="HP118" s="119"/>
      <c r="HQ118" s="119"/>
      <c r="HR118" s="119"/>
      <c r="HS118" s="119"/>
      <c r="HT118" s="119"/>
      <c r="HU118" s="119"/>
      <c r="HV118" s="119"/>
      <c r="HW118" s="119"/>
      <c r="HX118" s="119"/>
      <c r="HY118" s="119"/>
      <c r="HZ118" s="119"/>
      <c r="IA118" s="119"/>
      <c r="IB118" s="119"/>
      <c r="IC118" s="119"/>
      <c r="ID118" s="119"/>
      <c r="IE118" s="119"/>
      <c r="IF118" s="119"/>
      <c r="IG118" s="119"/>
      <c r="IH118" s="119"/>
      <c r="II118" s="119"/>
      <c r="IJ118" s="119"/>
      <c r="IK118" s="119"/>
      <c r="IL118" s="119"/>
      <c r="IM118" s="119"/>
      <c r="IN118" s="119"/>
      <c r="IO118" s="119"/>
      <c r="IP118" s="119"/>
      <c r="IQ118" s="119"/>
      <c r="IR118" s="119"/>
      <c r="IS118" s="119"/>
      <c r="IT118" s="119"/>
      <c r="IU118" s="119"/>
      <c r="IV118" s="119"/>
      <c r="IW118" s="119"/>
    </row>
    <row r="119" spans="1:257" s="187" customFormat="1" ht="18" customHeight="1" x14ac:dyDescent="0.35">
      <c r="A119" s="195">
        <v>110</v>
      </c>
      <c r="B119" s="692"/>
      <c r="C119" s="120"/>
      <c r="D119" s="1266" t="s">
        <v>808</v>
      </c>
      <c r="E119" s="127"/>
      <c r="F119" s="127"/>
      <c r="G119" s="693"/>
      <c r="H119" s="224"/>
      <c r="I119" s="559"/>
      <c r="J119" s="559"/>
      <c r="K119" s="559"/>
      <c r="L119" s="559"/>
      <c r="M119" s="559">
        <v>5000</v>
      </c>
      <c r="N119" s="1284"/>
      <c r="O119" s="576"/>
      <c r="P119" s="1275">
        <f>SUM(I119:N119)</f>
        <v>5000</v>
      </c>
      <c r="Q119" s="694"/>
      <c r="R119" s="119"/>
      <c r="S119" s="119"/>
      <c r="T119" s="119"/>
      <c r="U119" s="119"/>
      <c r="V119" s="119"/>
      <c r="W119" s="119"/>
      <c r="X119" s="119"/>
      <c r="Y119" s="119"/>
      <c r="Z119" s="119"/>
      <c r="AA119" s="119"/>
      <c r="AB119" s="119"/>
      <c r="AC119" s="119"/>
      <c r="AD119" s="119"/>
      <c r="AE119" s="119"/>
      <c r="AF119" s="119"/>
      <c r="AG119" s="119"/>
      <c r="AH119" s="119"/>
      <c r="AI119" s="119"/>
      <c r="AJ119" s="119"/>
      <c r="AK119" s="119"/>
      <c r="AL119" s="119"/>
      <c r="AM119" s="119"/>
      <c r="AN119" s="119"/>
      <c r="AO119" s="119"/>
      <c r="AP119" s="119"/>
      <c r="AQ119" s="119"/>
      <c r="AR119" s="119"/>
      <c r="AS119" s="119"/>
      <c r="AT119" s="119"/>
      <c r="AU119" s="119"/>
      <c r="AV119" s="119"/>
      <c r="AW119" s="119"/>
      <c r="AX119" s="119"/>
      <c r="AY119" s="119"/>
      <c r="AZ119" s="119"/>
      <c r="BA119" s="119"/>
      <c r="BB119" s="119"/>
      <c r="BC119" s="119"/>
      <c r="BD119" s="119"/>
      <c r="BE119" s="119"/>
      <c r="BF119" s="119"/>
      <c r="BG119" s="119"/>
      <c r="BH119" s="119"/>
      <c r="BI119" s="119"/>
      <c r="BJ119" s="119"/>
      <c r="BK119" s="119"/>
      <c r="BL119" s="119"/>
      <c r="BM119" s="119"/>
      <c r="BN119" s="119"/>
      <c r="BO119" s="119"/>
      <c r="BP119" s="119"/>
      <c r="BQ119" s="119"/>
      <c r="BR119" s="119"/>
      <c r="BS119" s="119"/>
      <c r="BT119" s="119"/>
      <c r="BU119" s="119"/>
      <c r="BV119" s="119"/>
      <c r="BW119" s="119"/>
      <c r="BX119" s="119"/>
      <c r="BY119" s="119"/>
      <c r="BZ119" s="119"/>
      <c r="CA119" s="119"/>
      <c r="CB119" s="119"/>
      <c r="CC119" s="119"/>
      <c r="CD119" s="119"/>
      <c r="CE119" s="119"/>
      <c r="CF119" s="119"/>
      <c r="CG119" s="119"/>
      <c r="CH119" s="119"/>
      <c r="CI119" s="119"/>
      <c r="CJ119" s="119"/>
      <c r="CK119" s="119"/>
      <c r="CL119" s="119"/>
      <c r="CM119" s="119"/>
      <c r="CN119" s="119"/>
      <c r="CO119" s="119"/>
      <c r="CP119" s="119"/>
      <c r="CQ119" s="119"/>
      <c r="CR119" s="119"/>
      <c r="CS119" s="119"/>
      <c r="CT119" s="119"/>
      <c r="CU119" s="119"/>
      <c r="CV119" s="119"/>
      <c r="CW119" s="119"/>
      <c r="CX119" s="119"/>
      <c r="CY119" s="119"/>
      <c r="CZ119" s="119"/>
      <c r="DA119" s="119"/>
      <c r="DB119" s="119"/>
      <c r="DC119" s="119"/>
      <c r="DD119" s="119"/>
      <c r="DE119" s="119"/>
      <c r="DF119" s="119"/>
      <c r="DG119" s="119"/>
      <c r="DH119" s="119"/>
      <c r="DI119" s="119"/>
      <c r="DJ119" s="119"/>
      <c r="DK119" s="119"/>
      <c r="DL119" s="119"/>
      <c r="DM119" s="119"/>
      <c r="DN119" s="119"/>
      <c r="DO119" s="119"/>
      <c r="DP119" s="119"/>
      <c r="DQ119" s="119"/>
      <c r="DR119" s="119"/>
      <c r="DS119" s="119"/>
      <c r="DT119" s="119"/>
      <c r="DU119" s="119"/>
      <c r="DV119" s="119"/>
      <c r="DW119" s="119"/>
      <c r="DX119" s="119"/>
      <c r="DY119" s="119"/>
      <c r="DZ119" s="119"/>
      <c r="EA119" s="119"/>
      <c r="EB119" s="119"/>
      <c r="EC119" s="119"/>
      <c r="ED119" s="119"/>
      <c r="EE119" s="119"/>
      <c r="EF119" s="119"/>
      <c r="EG119" s="119"/>
      <c r="EH119" s="119"/>
      <c r="EI119" s="119"/>
      <c r="EJ119" s="119"/>
      <c r="EK119" s="119"/>
      <c r="EL119" s="119"/>
      <c r="EM119" s="119"/>
      <c r="EN119" s="119"/>
      <c r="EO119" s="119"/>
      <c r="EP119" s="119"/>
      <c r="EQ119" s="119"/>
      <c r="ER119" s="119"/>
      <c r="ES119" s="119"/>
      <c r="ET119" s="119"/>
      <c r="EU119" s="119"/>
      <c r="EV119" s="119"/>
      <c r="EW119" s="119"/>
      <c r="EX119" s="119"/>
      <c r="EY119" s="119"/>
      <c r="EZ119" s="119"/>
      <c r="FA119" s="119"/>
      <c r="FB119" s="119"/>
      <c r="FC119" s="119"/>
      <c r="FD119" s="119"/>
      <c r="FE119" s="119"/>
      <c r="FF119" s="119"/>
      <c r="FG119" s="119"/>
      <c r="FH119" s="119"/>
      <c r="FI119" s="119"/>
      <c r="FJ119" s="119"/>
      <c r="FK119" s="119"/>
      <c r="FL119" s="119"/>
      <c r="FM119" s="119"/>
      <c r="FN119" s="119"/>
      <c r="FO119" s="119"/>
      <c r="FP119" s="119"/>
      <c r="FQ119" s="119"/>
      <c r="FR119" s="119"/>
      <c r="FS119" s="119"/>
      <c r="FT119" s="119"/>
      <c r="FU119" s="119"/>
      <c r="FV119" s="119"/>
      <c r="FW119" s="119"/>
      <c r="FX119" s="119"/>
      <c r="FY119" s="119"/>
      <c r="FZ119" s="119"/>
      <c r="GA119" s="119"/>
      <c r="GB119" s="119"/>
      <c r="GC119" s="119"/>
      <c r="GD119" s="119"/>
      <c r="GE119" s="119"/>
      <c r="GF119" s="119"/>
      <c r="GG119" s="119"/>
      <c r="GH119" s="119"/>
      <c r="GI119" s="119"/>
      <c r="GJ119" s="119"/>
      <c r="GK119" s="119"/>
      <c r="GL119" s="119"/>
      <c r="GM119" s="119"/>
      <c r="GN119" s="119"/>
      <c r="GO119" s="119"/>
      <c r="GP119" s="119"/>
      <c r="GQ119" s="119"/>
      <c r="GR119" s="119"/>
      <c r="GS119" s="119"/>
      <c r="GT119" s="119"/>
      <c r="GU119" s="119"/>
      <c r="GV119" s="119"/>
      <c r="GW119" s="119"/>
      <c r="GX119" s="119"/>
      <c r="GY119" s="119"/>
      <c r="GZ119" s="119"/>
      <c r="HA119" s="119"/>
      <c r="HB119" s="119"/>
      <c r="HC119" s="119"/>
      <c r="HD119" s="119"/>
      <c r="HE119" s="119"/>
      <c r="HF119" s="119"/>
      <c r="HG119" s="119"/>
      <c r="HH119" s="119"/>
      <c r="HI119" s="119"/>
      <c r="HJ119" s="119"/>
      <c r="HK119" s="119"/>
      <c r="HL119" s="119"/>
      <c r="HM119" s="119"/>
      <c r="HN119" s="119"/>
      <c r="HO119" s="119"/>
      <c r="HP119" s="119"/>
      <c r="HQ119" s="119"/>
      <c r="HR119" s="119"/>
      <c r="HS119" s="119"/>
      <c r="HT119" s="119"/>
      <c r="HU119" s="119"/>
      <c r="HV119" s="119"/>
      <c r="HW119" s="119"/>
      <c r="HX119" s="119"/>
      <c r="HY119" s="119"/>
      <c r="HZ119" s="119"/>
      <c r="IA119" s="119"/>
      <c r="IB119" s="119"/>
      <c r="IC119" s="119"/>
      <c r="ID119" s="119"/>
      <c r="IE119" s="119"/>
      <c r="IF119" s="119"/>
      <c r="IG119" s="119"/>
      <c r="IH119" s="119"/>
      <c r="II119" s="119"/>
      <c r="IJ119" s="119"/>
      <c r="IK119" s="119"/>
      <c r="IL119" s="119"/>
      <c r="IM119" s="119"/>
      <c r="IN119" s="119"/>
      <c r="IO119" s="119"/>
      <c r="IP119" s="119"/>
      <c r="IQ119" s="119"/>
      <c r="IR119" s="119"/>
      <c r="IS119" s="119"/>
      <c r="IT119" s="119"/>
      <c r="IU119" s="119"/>
      <c r="IV119" s="119"/>
      <c r="IW119" s="119"/>
    </row>
    <row r="120" spans="1:257" s="187" customFormat="1" ht="18" customHeight="1" x14ac:dyDescent="0.35">
      <c r="A120" s="195">
        <v>111</v>
      </c>
      <c r="B120" s="692"/>
      <c r="C120" s="120"/>
      <c r="D120" s="1265" t="s">
        <v>656</v>
      </c>
      <c r="E120" s="127"/>
      <c r="F120" s="127"/>
      <c r="G120" s="693"/>
      <c r="H120" s="224"/>
      <c r="I120" s="559"/>
      <c r="J120" s="559"/>
      <c r="K120" s="1282"/>
      <c r="L120" s="559"/>
      <c r="M120" s="1282"/>
      <c r="N120" s="1284"/>
      <c r="O120" s="576"/>
      <c r="P120" s="1276">
        <f t="shared" ref="P120:P121" si="30">SUM(I120:N120)</f>
        <v>0</v>
      </c>
      <c r="Q120" s="694"/>
      <c r="R120" s="119"/>
      <c r="S120" s="119"/>
      <c r="T120" s="119"/>
      <c r="U120" s="119"/>
      <c r="V120" s="119"/>
      <c r="W120" s="119"/>
      <c r="X120" s="119"/>
      <c r="Y120" s="119"/>
      <c r="Z120" s="119"/>
      <c r="AA120" s="119"/>
      <c r="AB120" s="119"/>
      <c r="AC120" s="119"/>
      <c r="AD120" s="119"/>
      <c r="AE120" s="119"/>
      <c r="AF120" s="119"/>
      <c r="AG120" s="119"/>
      <c r="AH120" s="119"/>
      <c r="AI120" s="119"/>
      <c r="AJ120" s="119"/>
      <c r="AK120" s="119"/>
      <c r="AL120" s="119"/>
      <c r="AM120" s="119"/>
      <c r="AN120" s="119"/>
      <c r="AO120" s="119"/>
      <c r="AP120" s="119"/>
      <c r="AQ120" s="119"/>
      <c r="AR120" s="119"/>
      <c r="AS120" s="119"/>
      <c r="AT120" s="119"/>
      <c r="AU120" s="119"/>
      <c r="AV120" s="119"/>
      <c r="AW120" s="119"/>
      <c r="AX120" s="119"/>
      <c r="AY120" s="119"/>
      <c r="AZ120" s="119"/>
      <c r="BA120" s="119"/>
      <c r="BB120" s="119"/>
      <c r="BC120" s="119"/>
      <c r="BD120" s="119"/>
      <c r="BE120" s="119"/>
      <c r="BF120" s="119"/>
      <c r="BG120" s="119"/>
      <c r="BH120" s="119"/>
      <c r="BI120" s="119"/>
      <c r="BJ120" s="119"/>
      <c r="BK120" s="119"/>
      <c r="BL120" s="119"/>
      <c r="BM120" s="119"/>
      <c r="BN120" s="119"/>
      <c r="BO120" s="119"/>
      <c r="BP120" s="119"/>
      <c r="BQ120" s="119"/>
      <c r="BR120" s="119"/>
      <c r="BS120" s="119"/>
      <c r="BT120" s="119"/>
      <c r="BU120" s="119"/>
      <c r="BV120" s="119"/>
      <c r="BW120" s="119"/>
      <c r="BX120" s="119"/>
      <c r="BY120" s="119"/>
      <c r="BZ120" s="119"/>
      <c r="CA120" s="119"/>
      <c r="CB120" s="119"/>
      <c r="CC120" s="119"/>
      <c r="CD120" s="119"/>
      <c r="CE120" s="119"/>
      <c r="CF120" s="119"/>
      <c r="CG120" s="119"/>
      <c r="CH120" s="119"/>
      <c r="CI120" s="119"/>
      <c r="CJ120" s="119"/>
      <c r="CK120" s="119"/>
      <c r="CL120" s="119"/>
      <c r="CM120" s="119"/>
      <c r="CN120" s="119"/>
      <c r="CO120" s="119"/>
      <c r="CP120" s="119"/>
      <c r="CQ120" s="119"/>
      <c r="CR120" s="119"/>
      <c r="CS120" s="119"/>
      <c r="CT120" s="119"/>
      <c r="CU120" s="119"/>
      <c r="CV120" s="119"/>
      <c r="CW120" s="119"/>
      <c r="CX120" s="119"/>
      <c r="CY120" s="119"/>
      <c r="CZ120" s="119"/>
      <c r="DA120" s="119"/>
      <c r="DB120" s="119"/>
      <c r="DC120" s="119"/>
      <c r="DD120" s="119"/>
      <c r="DE120" s="119"/>
      <c r="DF120" s="119"/>
      <c r="DG120" s="119"/>
      <c r="DH120" s="119"/>
      <c r="DI120" s="119"/>
      <c r="DJ120" s="119"/>
      <c r="DK120" s="119"/>
      <c r="DL120" s="119"/>
      <c r="DM120" s="119"/>
      <c r="DN120" s="119"/>
      <c r="DO120" s="119"/>
      <c r="DP120" s="119"/>
      <c r="DQ120" s="119"/>
      <c r="DR120" s="119"/>
      <c r="DS120" s="119"/>
      <c r="DT120" s="119"/>
      <c r="DU120" s="119"/>
      <c r="DV120" s="119"/>
      <c r="DW120" s="119"/>
      <c r="DX120" s="119"/>
      <c r="DY120" s="119"/>
      <c r="DZ120" s="119"/>
      <c r="EA120" s="119"/>
      <c r="EB120" s="119"/>
      <c r="EC120" s="119"/>
      <c r="ED120" s="119"/>
      <c r="EE120" s="119"/>
      <c r="EF120" s="119"/>
      <c r="EG120" s="119"/>
      <c r="EH120" s="119"/>
      <c r="EI120" s="119"/>
      <c r="EJ120" s="119"/>
      <c r="EK120" s="119"/>
      <c r="EL120" s="119"/>
      <c r="EM120" s="119"/>
      <c r="EN120" s="119"/>
      <c r="EO120" s="119"/>
      <c r="EP120" s="119"/>
      <c r="EQ120" s="119"/>
      <c r="ER120" s="119"/>
      <c r="ES120" s="119"/>
      <c r="ET120" s="119"/>
      <c r="EU120" s="119"/>
      <c r="EV120" s="119"/>
      <c r="EW120" s="119"/>
      <c r="EX120" s="119"/>
      <c r="EY120" s="119"/>
      <c r="EZ120" s="119"/>
      <c r="FA120" s="119"/>
      <c r="FB120" s="119"/>
      <c r="FC120" s="119"/>
      <c r="FD120" s="119"/>
      <c r="FE120" s="119"/>
      <c r="FF120" s="119"/>
      <c r="FG120" s="119"/>
      <c r="FH120" s="119"/>
      <c r="FI120" s="119"/>
      <c r="FJ120" s="119"/>
      <c r="FK120" s="119"/>
      <c r="FL120" s="119"/>
      <c r="FM120" s="119"/>
      <c r="FN120" s="119"/>
      <c r="FO120" s="119"/>
      <c r="FP120" s="119"/>
      <c r="FQ120" s="119"/>
      <c r="FR120" s="119"/>
      <c r="FS120" s="119"/>
      <c r="FT120" s="119"/>
      <c r="FU120" s="119"/>
      <c r="FV120" s="119"/>
      <c r="FW120" s="119"/>
      <c r="FX120" s="119"/>
      <c r="FY120" s="119"/>
      <c r="FZ120" s="119"/>
      <c r="GA120" s="119"/>
      <c r="GB120" s="119"/>
      <c r="GC120" s="119"/>
      <c r="GD120" s="119"/>
      <c r="GE120" s="119"/>
      <c r="GF120" s="119"/>
      <c r="GG120" s="119"/>
      <c r="GH120" s="119"/>
      <c r="GI120" s="119"/>
      <c r="GJ120" s="119"/>
      <c r="GK120" s="119"/>
      <c r="GL120" s="119"/>
      <c r="GM120" s="119"/>
      <c r="GN120" s="119"/>
      <c r="GO120" s="119"/>
      <c r="GP120" s="119"/>
      <c r="GQ120" s="119"/>
      <c r="GR120" s="119"/>
      <c r="GS120" s="119"/>
      <c r="GT120" s="119"/>
      <c r="GU120" s="119"/>
      <c r="GV120" s="119"/>
      <c r="GW120" s="119"/>
      <c r="GX120" s="119"/>
      <c r="GY120" s="119"/>
      <c r="GZ120" s="119"/>
      <c r="HA120" s="119"/>
      <c r="HB120" s="119"/>
      <c r="HC120" s="119"/>
      <c r="HD120" s="119"/>
      <c r="HE120" s="119"/>
      <c r="HF120" s="119"/>
      <c r="HG120" s="119"/>
      <c r="HH120" s="119"/>
      <c r="HI120" s="119"/>
      <c r="HJ120" s="119"/>
      <c r="HK120" s="119"/>
      <c r="HL120" s="119"/>
      <c r="HM120" s="119"/>
      <c r="HN120" s="119"/>
      <c r="HO120" s="119"/>
      <c r="HP120" s="119"/>
      <c r="HQ120" s="119"/>
      <c r="HR120" s="119"/>
      <c r="HS120" s="119"/>
      <c r="HT120" s="119"/>
      <c r="HU120" s="119"/>
      <c r="HV120" s="119"/>
      <c r="HW120" s="119"/>
      <c r="HX120" s="119"/>
      <c r="HY120" s="119"/>
      <c r="HZ120" s="119"/>
      <c r="IA120" s="119"/>
      <c r="IB120" s="119"/>
      <c r="IC120" s="119"/>
      <c r="ID120" s="119"/>
      <c r="IE120" s="119"/>
      <c r="IF120" s="119"/>
      <c r="IG120" s="119"/>
      <c r="IH120" s="119"/>
      <c r="II120" s="119"/>
      <c r="IJ120" s="119"/>
      <c r="IK120" s="119"/>
      <c r="IL120" s="119"/>
      <c r="IM120" s="119"/>
      <c r="IN120" s="119"/>
      <c r="IO120" s="119"/>
      <c r="IP120" s="119"/>
      <c r="IQ120" s="119"/>
      <c r="IR120" s="119"/>
      <c r="IS120" s="119"/>
      <c r="IT120" s="119"/>
      <c r="IU120" s="119"/>
      <c r="IV120" s="119"/>
      <c r="IW120" s="119"/>
    </row>
    <row r="121" spans="1:257" s="187" customFormat="1" ht="18" customHeight="1" x14ac:dyDescent="0.35">
      <c r="A121" s="195">
        <v>112</v>
      </c>
      <c r="B121" s="692"/>
      <c r="C121" s="548"/>
      <c r="D121" s="1268" t="s">
        <v>862</v>
      </c>
      <c r="E121" s="238"/>
      <c r="F121" s="238"/>
      <c r="G121" s="576"/>
      <c r="H121" s="240"/>
      <c r="I121" s="1270"/>
      <c r="J121" s="1270"/>
      <c r="K121" s="1270"/>
      <c r="L121" s="1270"/>
      <c r="M121" s="1270">
        <f>SUM(M119:M120)</f>
        <v>5000</v>
      </c>
      <c r="N121" s="1271"/>
      <c r="O121" s="576"/>
      <c r="P121" s="1275">
        <f t="shared" si="30"/>
        <v>5000</v>
      </c>
      <c r="Q121" s="1246"/>
      <c r="R121" s="119"/>
      <c r="S121" s="119"/>
      <c r="T121" s="119"/>
      <c r="U121" s="119"/>
      <c r="V121" s="119"/>
      <c r="W121" s="119"/>
      <c r="X121" s="119"/>
      <c r="Y121" s="119"/>
      <c r="Z121" s="119"/>
      <c r="AA121" s="119"/>
      <c r="AB121" s="119"/>
      <c r="AC121" s="119"/>
      <c r="AD121" s="119"/>
      <c r="AE121" s="119"/>
      <c r="AF121" s="119"/>
      <c r="AG121" s="119"/>
      <c r="AH121" s="119"/>
      <c r="AI121" s="119"/>
      <c r="AJ121" s="119"/>
      <c r="AK121" s="119"/>
      <c r="AL121" s="119"/>
      <c r="AM121" s="119"/>
      <c r="AN121" s="119"/>
      <c r="AO121" s="119"/>
      <c r="AP121" s="119"/>
      <c r="AQ121" s="119"/>
      <c r="AR121" s="119"/>
      <c r="AS121" s="119"/>
      <c r="AT121" s="119"/>
      <c r="AU121" s="119"/>
      <c r="AV121" s="119"/>
      <c r="AW121" s="119"/>
      <c r="AX121" s="119"/>
      <c r="AY121" s="119"/>
      <c r="AZ121" s="119"/>
      <c r="BA121" s="119"/>
      <c r="BB121" s="119"/>
      <c r="BC121" s="119"/>
      <c r="BD121" s="119"/>
      <c r="BE121" s="119"/>
      <c r="BF121" s="119"/>
      <c r="BG121" s="119"/>
      <c r="BH121" s="119"/>
      <c r="BI121" s="119"/>
      <c r="BJ121" s="119"/>
      <c r="BK121" s="119"/>
      <c r="BL121" s="119"/>
      <c r="BM121" s="119"/>
      <c r="BN121" s="119"/>
      <c r="BO121" s="119"/>
      <c r="BP121" s="119"/>
      <c r="BQ121" s="119"/>
      <c r="BR121" s="119"/>
      <c r="BS121" s="119"/>
      <c r="BT121" s="119"/>
      <c r="BU121" s="119"/>
      <c r="BV121" s="119"/>
      <c r="BW121" s="119"/>
      <c r="BX121" s="119"/>
      <c r="BY121" s="119"/>
      <c r="BZ121" s="119"/>
      <c r="CA121" s="119"/>
      <c r="CB121" s="119"/>
      <c r="CC121" s="119"/>
      <c r="CD121" s="119"/>
      <c r="CE121" s="119"/>
      <c r="CF121" s="119"/>
      <c r="CG121" s="119"/>
      <c r="CH121" s="119"/>
      <c r="CI121" s="119"/>
      <c r="CJ121" s="119"/>
      <c r="CK121" s="119"/>
      <c r="CL121" s="119"/>
      <c r="CM121" s="119"/>
      <c r="CN121" s="119"/>
      <c r="CO121" s="119"/>
      <c r="CP121" s="119"/>
      <c r="CQ121" s="119"/>
      <c r="CR121" s="119"/>
      <c r="CS121" s="119"/>
      <c r="CT121" s="119"/>
      <c r="CU121" s="119"/>
      <c r="CV121" s="119"/>
      <c r="CW121" s="119"/>
      <c r="CX121" s="119"/>
      <c r="CY121" s="119"/>
      <c r="CZ121" s="119"/>
      <c r="DA121" s="119"/>
      <c r="DB121" s="119"/>
      <c r="DC121" s="119"/>
      <c r="DD121" s="119"/>
      <c r="DE121" s="119"/>
      <c r="DF121" s="119"/>
      <c r="DG121" s="119"/>
      <c r="DH121" s="119"/>
      <c r="DI121" s="119"/>
      <c r="DJ121" s="119"/>
      <c r="DK121" s="119"/>
      <c r="DL121" s="119"/>
      <c r="DM121" s="119"/>
      <c r="DN121" s="119"/>
      <c r="DO121" s="119"/>
      <c r="DP121" s="119"/>
      <c r="DQ121" s="119"/>
      <c r="DR121" s="119"/>
      <c r="DS121" s="119"/>
      <c r="DT121" s="119"/>
      <c r="DU121" s="119"/>
      <c r="DV121" s="119"/>
      <c r="DW121" s="119"/>
      <c r="DX121" s="119"/>
      <c r="DY121" s="119"/>
      <c r="DZ121" s="119"/>
      <c r="EA121" s="119"/>
      <c r="EB121" s="119"/>
      <c r="EC121" s="119"/>
      <c r="ED121" s="119"/>
      <c r="EE121" s="119"/>
      <c r="EF121" s="119"/>
      <c r="EG121" s="119"/>
      <c r="EH121" s="119"/>
      <c r="EI121" s="119"/>
      <c r="EJ121" s="119"/>
      <c r="EK121" s="119"/>
      <c r="EL121" s="119"/>
      <c r="EM121" s="119"/>
      <c r="EN121" s="119"/>
      <c r="EO121" s="119"/>
      <c r="EP121" s="119"/>
      <c r="EQ121" s="119"/>
      <c r="ER121" s="119"/>
      <c r="ES121" s="119"/>
      <c r="ET121" s="119"/>
      <c r="EU121" s="119"/>
      <c r="EV121" s="119"/>
      <c r="EW121" s="119"/>
      <c r="EX121" s="119"/>
      <c r="EY121" s="119"/>
      <c r="EZ121" s="119"/>
      <c r="FA121" s="119"/>
      <c r="FB121" s="119"/>
      <c r="FC121" s="119"/>
      <c r="FD121" s="119"/>
      <c r="FE121" s="119"/>
      <c r="FF121" s="119"/>
      <c r="FG121" s="119"/>
      <c r="FH121" s="119"/>
      <c r="FI121" s="119"/>
      <c r="FJ121" s="119"/>
      <c r="FK121" s="119"/>
      <c r="FL121" s="119"/>
      <c r="FM121" s="119"/>
      <c r="FN121" s="119"/>
      <c r="FO121" s="119"/>
      <c r="FP121" s="119"/>
      <c r="FQ121" s="119"/>
      <c r="FR121" s="119"/>
      <c r="FS121" s="119"/>
      <c r="FT121" s="119"/>
      <c r="FU121" s="119"/>
      <c r="FV121" s="119"/>
      <c r="FW121" s="119"/>
      <c r="FX121" s="119"/>
      <c r="FY121" s="119"/>
      <c r="FZ121" s="119"/>
      <c r="GA121" s="119"/>
      <c r="GB121" s="119"/>
      <c r="GC121" s="119"/>
      <c r="GD121" s="119"/>
      <c r="GE121" s="119"/>
      <c r="GF121" s="119"/>
      <c r="GG121" s="119"/>
      <c r="GH121" s="119"/>
      <c r="GI121" s="119"/>
      <c r="GJ121" s="119"/>
      <c r="GK121" s="119"/>
      <c r="GL121" s="119"/>
      <c r="GM121" s="119"/>
      <c r="GN121" s="119"/>
      <c r="GO121" s="119"/>
      <c r="GP121" s="119"/>
      <c r="GQ121" s="119"/>
      <c r="GR121" s="119"/>
      <c r="GS121" s="119"/>
      <c r="GT121" s="119"/>
      <c r="GU121" s="119"/>
      <c r="GV121" s="119"/>
      <c r="GW121" s="119"/>
      <c r="GX121" s="119"/>
      <c r="GY121" s="119"/>
      <c r="GZ121" s="119"/>
      <c r="HA121" s="119"/>
      <c r="HB121" s="119"/>
      <c r="HC121" s="119"/>
      <c r="HD121" s="119"/>
      <c r="HE121" s="119"/>
      <c r="HF121" s="119"/>
      <c r="HG121" s="119"/>
      <c r="HH121" s="119"/>
      <c r="HI121" s="119"/>
      <c r="HJ121" s="119"/>
      <c r="HK121" s="119"/>
      <c r="HL121" s="119"/>
      <c r="HM121" s="119"/>
      <c r="HN121" s="119"/>
      <c r="HO121" s="119"/>
      <c r="HP121" s="119"/>
      <c r="HQ121" s="119"/>
      <c r="HR121" s="119"/>
      <c r="HS121" s="119"/>
      <c r="HT121" s="119"/>
      <c r="HU121" s="119"/>
      <c r="HV121" s="119"/>
      <c r="HW121" s="119"/>
      <c r="HX121" s="119"/>
      <c r="HY121" s="119"/>
      <c r="HZ121" s="119"/>
      <c r="IA121" s="119"/>
      <c r="IB121" s="119"/>
      <c r="IC121" s="119"/>
      <c r="ID121" s="119"/>
      <c r="IE121" s="119"/>
      <c r="IF121" s="119"/>
      <c r="IG121" s="119"/>
      <c r="IH121" s="119"/>
      <c r="II121" s="119"/>
      <c r="IJ121" s="119"/>
      <c r="IK121" s="119"/>
      <c r="IL121" s="119"/>
      <c r="IM121" s="119"/>
      <c r="IN121" s="119"/>
      <c r="IO121" s="119"/>
      <c r="IP121" s="119"/>
      <c r="IQ121" s="119"/>
      <c r="IR121" s="119"/>
      <c r="IS121" s="119"/>
      <c r="IT121" s="119"/>
      <c r="IU121" s="119"/>
      <c r="IV121" s="119"/>
      <c r="IW121" s="119"/>
    </row>
    <row r="122" spans="1:257" s="187" customFormat="1" ht="36" customHeight="1" x14ac:dyDescent="0.35">
      <c r="A122" s="195">
        <v>113</v>
      </c>
      <c r="B122" s="692"/>
      <c r="C122" s="120">
        <v>40</v>
      </c>
      <c r="D122" s="121" t="s">
        <v>1012</v>
      </c>
      <c r="E122" s="127">
        <f>F122+G122+P125</f>
        <v>22000</v>
      </c>
      <c r="F122" s="127"/>
      <c r="G122" s="693"/>
      <c r="H122" s="224" t="s">
        <v>24</v>
      </c>
      <c r="I122" s="559"/>
      <c r="J122" s="559"/>
      <c r="K122" s="559"/>
      <c r="L122" s="559"/>
      <c r="M122" s="559"/>
      <c r="N122" s="1284"/>
      <c r="O122" s="693"/>
      <c r="P122" s="1272"/>
      <c r="Q122" s="694"/>
      <c r="R122" s="119"/>
      <c r="S122" s="119"/>
      <c r="T122" s="119"/>
      <c r="U122" s="119"/>
      <c r="V122" s="119"/>
      <c r="W122" s="119"/>
      <c r="X122" s="119"/>
      <c r="Y122" s="119"/>
      <c r="Z122" s="119"/>
      <c r="AA122" s="119"/>
      <c r="AB122" s="119"/>
      <c r="AC122" s="119"/>
      <c r="AD122" s="119"/>
      <c r="AE122" s="119"/>
      <c r="AF122" s="119"/>
      <c r="AG122" s="119"/>
      <c r="AH122" s="119"/>
      <c r="AI122" s="119"/>
      <c r="AJ122" s="119"/>
      <c r="AK122" s="119"/>
      <c r="AL122" s="119"/>
      <c r="AM122" s="119"/>
      <c r="AN122" s="119"/>
      <c r="AO122" s="119"/>
      <c r="AP122" s="119"/>
      <c r="AQ122" s="119"/>
      <c r="AR122" s="119"/>
      <c r="AS122" s="119"/>
      <c r="AT122" s="119"/>
      <c r="AU122" s="119"/>
      <c r="AV122" s="119"/>
      <c r="AW122" s="119"/>
      <c r="AX122" s="119"/>
      <c r="AY122" s="119"/>
      <c r="AZ122" s="119"/>
      <c r="BA122" s="119"/>
      <c r="BB122" s="119"/>
      <c r="BC122" s="119"/>
      <c r="BD122" s="119"/>
      <c r="BE122" s="119"/>
      <c r="BF122" s="119"/>
      <c r="BG122" s="119"/>
      <c r="BH122" s="119"/>
      <c r="BI122" s="119"/>
      <c r="BJ122" s="119"/>
      <c r="BK122" s="119"/>
      <c r="BL122" s="119"/>
      <c r="BM122" s="119"/>
      <c r="BN122" s="119"/>
      <c r="BO122" s="119"/>
      <c r="BP122" s="119"/>
      <c r="BQ122" s="119"/>
      <c r="BR122" s="119"/>
      <c r="BS122" s="119"/>
      <c r="BT122" s="119"/>
      <c r="BU122" s="119"/>
      <c r="BV122" s="119"/>
      <c r="BW122" s="119"/>
      <c r="BX122" s="119"/>
      <c r="BY122" s="119"/>
      <c r="BZ122" s="119"/>
      <c r="CA122" s="119"/>
      <c r="CB122" s="119"/>
      <c r="CC122" s="119"/>
      <c r="CD122" s="119"/>
      <c r="CE122" s="119"/>
      <c r="CF122" s="119"/>
      <c r="CG122" s="119"/>
      <c r="CH122" s="119"/>
      <c r="CI122" s="119"/>
      <c r="CJ122" s="119"/>
      <c r="CK122" s="119"/>
      <c r="CL122" s="119"/>
      <c r="CM122" s="119"/>
      <c r="CN122" s="119"/>
      <c r="CO122" s="119"/>
      <c r="CP122" s="119"/>
      <c r="CQ122" s="119"/>
      <c r="CR122" s="119"/>
      <c r="CS122" s="119"/>
      <c r="CT122" s="119"/>
      <c r="CU122" s="119"/>
      <c r="CV122" s="119"/>
      <c r="CW122" s="119"/>
      <c r="CX122" s="119"/>
      <c r="CY122" s="119"/>
      <c r="CZ122" s="119"/>
      <c r="DA122" s="119"/>
      <c r="DB122" s="119"/>
      <c r="DC122" s="119"/>
      <c r="DD122" s="119"/>
      <c r="DE122" s="119"/>
      <c r="DF122" s="119"/>
      <c r="DG122" s="119"/>
      <c r="DH122" s="119"/>
      <c r="DI122" s="119"/>
      <c r="DJ122" s="119"/>
      <c r="DK122" s="119"/>
      <c r="DL122" s="119"/>
      <c r="DM122" s="119"/>
      <c r="DN122" s="119"/>
      <c r="DO122" s="119"/>
      <c r="DP122" s="119"/>
      <c r="DQ122" s="119"/>
      <c r="DR122" s="119"/>
      <c r="DS122" s="119"/>
      <c r="DT122" s="119"/>
      <c r="DU122" s="119"/>
      <c r="DV122" s="119"/>
      <c r="DW122" s="119"/>
      <c r="DX122" s="119"/>
      <c r="DY122" s="119"/>
      <c r="DZ122" s="119"/>
      <c r="EA122" s="119"/>
      <c r="EB122" s="119"/>
      <c r="EC122" s="119"/>
      <c r="ED122" s="119"/>
      <c r="EE122" s="119"/>
      <c r="EF122" s="119"/>
      <c r="EG122" s="119"/>
      <c r="EH122" s="119"/>
      <c r="EI122" s="119"/>
      <c r="EJ122" s="119"/>
      <c r="EK122" s="119"/>
      <c r="EL122" s="119"/>
      <c r="EM122" s="119"/>
      <c r="EN122" s="119"/>
      <c r="EO122" s="119"/>
      <c r="EP122" s="119"/>
      <c r="EQ122" s="119"/>
      <c r="ER122" s="119"/>
      <c r="ES122" s="119"/>
      <c r="ET122" s="119"/>
      <c r="EU122" s="119"/>
      <c r="EV122" s="119"/>
      <c r="EW122" s="119"/>
      <c r="EX122" s="119"/>
      <c r="EY122" s="119"/>
      <c r="EZ122" s="119"/>
      <c r="FA122" s="119"/>
      <c r="FB122" s="119"/>
      <c r="FC122" s="119"/>
      <c r="FD122" s="119"/>
      <c r="FE122" s="119"/>
      <c r="FF122" s="119"/>
      <c r="FG122" s="119"/>
      <c r="FH122" s="119"/>
      <c r="FI122" s="119"/>
      <c r="FJ122" s="119"/>
      <c r="FK122" s="119"/>
      <c r="FL122" s="119"/>
      <c r="FM122" s="119"/>
      <c r="FN122" s="119"/>
      <c r="FO122" s="119"/>
      <c r="FP122" s="119"/>
      <c r="FQ122" s="119"/>
      <c r="FR122" s="119"/>
      <c r="FS122" s="119"/>
      <c r="FT122" s="119"/>
      <c r="FU122" s="119"/>
      <c r="FV122" s="119"/>
      <c r="FW122" s="119"/>
      <c r="FX122" s="119"/>
      <c r="FY122" s="119"/>
      <c r="FZ122" s="119"/>
      <c r="GA122" s="119"/>
      <c r="GB122" s="119"/>
      <c r="GC122" s="119"/>
      <c r="GD122" s="119"/>
      <c r="GE122" s="119"/>
      <c r="GF122" s="119"/>
      <c r="GG122" s="119"/>
      <c r="GH122" s="119"/>
      <c r="GI122" s="119"/>
      <c r="GJ122" s="119"/>
      <c r="GK122" s="119"/>
      <c r="GL122" s="119"/>
      <c r="GM122" s="119"/>
      <c r="GN122" s="119"/>
      <c r="GO122" s="119"/>
      <c r="GP122" s="119"/>
      <c r="GQ122" s="119"/>
      <c r="GR122" s="119"/>
      <c r="GS122" s="119"/>
      <c r="GT122" s="119"/>
      <c r="GU122" s="119"/>
      <c r="GV122" s="119"/>
      <c r="GW122" s="119"/>
      <c r="GX122" s="119"/>
      <c r="GY122" s="119"/>
      <c r="GZ122" s="119"/>
      <c r="HA122" s="119"/>
      <c r="HB122" s="119"/>
      <c r="HC122" s="119"/>
      <c r="HD122" s="119"/>
      <c r="HE122" s="119"/>
      <c r="HF122" s="119"/>
      <c r="HG122" s="119"/>
      <c r="HH122" s="119"/>
      <c r="HI122" s="119"/>
      <c r="HJ122" s="119"/>
      <c r="HK122" s="119"/>
      <c r="HL122" s="119"/>
      <c r="HM122" s="119"/>
      <c r="HN122" s="119"/>
      <c r="HO122" s="119"/>
      <c r="HP122" s="119"/>
      <c r="HQ122" s="119"/>
      <c r="HR122" s="119"/>
      <c r="HS122" s="119"/>
      <c r="HT122" s="119"/>
      <c r="HU122" s="119"/>
      <c r="HV122" s="119"/>
      <c r="HW122" s="119"/>
      <c r="HX122" s="119"/>
      <c r="HY122" s="119"/>
      <c r="HZ122" s="119"/>
      <c r="IA122" s="119"/>
      <c r="IB122" s="119"/>
      <c r="IC122" s="119"/>
      <c r="ID122" s="119"/>
      <c r="IE122" s="119"/>
      <c r="IF122" s="119"/>
      <c r="IG122" s="119"/>
      <c r="IH122" s="119"/>
      <c r="II122" s="119"/>
      <c r="IJ122" s="119"/>
      <c r="IK122" s="119"/>
      <c r="IL122" s="119"/>
      <c r="IM122" s="119"/>
      <c r="IN122" s="119"/>
      <c r="IO122" s="119"/>
      <c r="IP122" s="119"/>
      <c r="IQ122" s="119"/>
      <c r="IR122" s="119"/>
      <c r="IS122" s="119"/>
      <c r="IT122" s="119"/>
      <c r="IU122" s="119"/>
      <c r="IV122" s="119"/>
      <c r="IW122" s="119"/>
    </row>
    <row r="123" spans="1:257" s="187" customFormat="1" ht="18" customHeight="1" x14ac:dyDescent="0.35">
      <c r="A123" s="195">
        <v>114</v>
      </c>
      <c r="B123" s="692"/>
      <c r="C123" s="120"/>
      <c r="D123" s="1266" t="s">
        <v>808</v>
      </c>
      <c r="E123" s="127"/>
      <c r="F123" s="127"/>
      <c r="G123" s="693"/>
      <c r="H123" s="224"/>
      <c r="I123" s="559"/>
      <c r="J123" s="559"/>
      <c r="K123" s="559"/>
      <c r="L123" s="559"/>
      <c r="M123" s="559">
        <v>22000</v>
      </c>
      <c r="N123" s="1284"/>
      <c r="O123" s="576"/>
      <c r="P123" s="1275">
        <f>SUM(I123:N123)</f>
        <v>22000</v>
      </c>
      <c r="Q123" s="694"/>
      <c r="R123" s="119"/>
      <c r="S123" s="119"/>
      <c r="T123" s="119"/>
      <c r="U123" s="119"/>
      <c r="V123" s="119"/>
      <c r="W123" s="119"/>
      <c r="X123" s="119"/>
      <c r="Y123" s="119"/>
      <c r="Z123" s="119"/>
      <c r="AA123" s="119"/>
      <c r="AB123" s="119"/>
      <c r="AC123" s="119"/>
      <c r="AD123" s="119"/>
      <c r="AE123" s="119"/>
      <c r="AF123" s="119"/>
      <c r="AG123" s="119"/>
      <c r="AH123" s="119"/>
      <c r="AI123" s="119"/>
      <c r="AJ123" s="119"/>
      <c r="AK123" s="119"/>
      <c r="AL123" s="119"/>
      <c r="AM123" s="119"/>
      <c r="AN123" s="119"/>
      <c r="AO123" s="119"/>
      <c r="AP123" s="119"/>
      <c r="AQ123" s="119"/>
      <c r="AR123" s="119"/>
      <c r="AS123" s="119"/>
      <c r="AT123" s="119"/>
      <c r="AU123" s="119"/>
      <c r="AV123" s="119"/>
      <c r="AW123" s="119"/>
      <c r="AX123" s="119"/>
      <c r="AY123" s="119"/>
      <c r="AZ123" s="119"/>
      <c r="BA123" s="119"/>
      <c r="BB123" s="119"/>
      <c r="BC123" s="119"/>
      <c r="BD123" s="119"/>
      <c r="BE123" s="119"/>
      <c r="BF123" s="119"/>
      <c r="BG123" s="119"/>
      <c r="BH123" s="119"/>
      <c r="BI123" s="119"/>
      <c r="BJ123" s="119"/>
      <c r="BK123" s="119"/>
      <c r="BL123" s="119"/>
      <c r="BM123" s="119"/>
      <c r="BN123" s="119"/>
      <c r="BO123" s="119"/>
      <c r="BP123" s="119"/>
      <c r="BQ123" s="119"/>
      <c r="BR123" s="119"/>
      <c r="BS123" s="119"/>
      <c r="BT123" s="119"/>
      <c r="BU123" s="119"/>
      <c r="BV123" s="119"/>
      <c r="BW123" s="119"/>
      <c r="BX123" s="119"/>
      <c r="BY123" s="119"/>
      <c r="BZ123" s="119"/>
      <c r="CA123" s="119"/>
      <c r="CB123" s="119"/>
      <c r="CC123" s="119"/>
      <c r="CD123" s="119"/>
      <c r="CE123" s="119"/>
      <c r="CF123" s="119"/>
      <c r="CG123" s="119"/>
      <c r="CH123" s="119"/>
      <c r="CI123" s="119"/>
      <c r="CJ123" s="119"/>
      <c r="CK123" s="119"/>
      <c r="CL123" s="119"/>
      <c r="CM123" s="119"/>
      <c r="CN123" s="119"/>
      <c r="CO123" s="119"/>
      <c r="CP123" s="119"/>
      <c r="CQ123" s="119"/>
      <c r="CR123" s="119"/>
      <c r="CS123" s="119"/>
      <c r="CT123" s="119"/>
      <c r="CU123" s="119"/>
      <c r="CV123" s="119"/>
      <c r="CW123" s="119"/>
      <c r="CX123" s="119"/>
      <c r="CY123" s="119"/>
      <c r="CZ123" s="119"/>
      <c r="DA123" s="119"/>
      <c r="DB123" s="119"/>
      <c r="DC123" s="119"/>
      <c r="DD123" s="119"/>
      <c r="DE123" s="119"/>
      <c r="DF123" s="119"/>
      <c r="DG123" s="119"/>
      <c r="DH123" s="119"/>
      <c r="DI123" s="119"/>
      <c r="DJ123" s="119"/>
      <c r="DK123" s="119"/>
      <c r="DL123" s="119"/>
      <c r="DM123" s="119"/>
      <c r="DN123" s="119"/>
      <c r="DO123" s="119"/>
      <c r="DP123" s="119"/>
      <c r="DQ123" s="119"/>
      <c r="DR123" s="119"/>
      <c r="DS123" s="119"/>
      <c r="DT123" s="119"/>
      <c r="DU123" s="119"/>
      <c r="DV123" s="119"/>
      <c r="DW123" s="119"/>
      <c r="DX123" s="119"/>
      <c r="DY123" s="119"/>
      <c r="DZ123" s="119"/>
      <c r="EA123" s="119"/>
      <c r="EB123" s="119"/>
      <c r="EC123" s="119"/>
      <c r="ED123" s="119"/>
      <c r="EE123" s="119"/>
      <c r="EF123" s="119"/>
      <c r="EG123" s="119"/>
      <c r="EH123" s="119"/>
      <c r="EI123" s="119"/>
      <c r="EJ123" s="119"/>
      <c r="EK123" s="119"/>
      <c r="EL123" s="119"/>
      <c r="EM123" s="119"/>
      <c r="EN123" s="119"/>
      <c r="EO123" s="119"/>
      <c r="EP123" s="119"/>
      <c r="EQ123" s="119"/>
      <c r="ER123" s="119"/>
      <c r="ES123" s="119"/>
      <c r="ET123" s="119"/>
      <c r="EU123" s="119"/>
      <c r="EV123" s="119"/>
      <c r="EW123" s="119"/>
      <c r="EX123" s="119"/>
      <c r="EY123" s="119"/>
      <c r="EZ123" s="119"/>
      <c r="FA123" s="119"/>
      <c r="FB123" s="119"/>
      <c r="FC123" s="119"/>
      <c r="FD123" s="119"/>
      <c r="FE123" s="119"/>
      <c r="FF123" s="119"/>
      <c r="FG123" s="119"/>
      <c r="FH123" s="119"/>
      <c r="FI123" s="119"/>
      <c r="FJ123" s="119"/>
      <c r="FK123" s="119"/>
      <c r="FL123" s="119"/>
      <c r="FM123" s="119"/>
      <c r="FN123" s="119"/>
      <c r="FO123" s="119"/>
      <c r="FP123" s="119"/>
      <c r="FQ123" s="119"/>
      <c r="FR123" s="119"/>
      <c r="FS123" s="119"/>
      <c r="FT123" s="119"/>
      <c r="FU123" s="119"/>
      <c r="FV123" s="119"/>
      <c r="FW123" s="119"/>
      <c r="FX123" s="119"/>
      <c r="FY123" s="119"/>
      <c r="FZ123" s="119"/>
      <c r="GA123" s="119"/>
      <c r="GB123" s="119"/>
      <c r="GC123" s="119"/>
      <c r="GD123" s="119"/>
      <c r="GE123" s="119"/>
      <c r="GF123" s="119"/>
      <c r="GG123" s="119"/>
      <c r="GH123" s="119"/>
      <c r="GI123" s="119"/>
      <c r="GJ123" s="119"/>
      <c r="GK123" s="119"/>
      <c r="GL123" s="119"/>
      <c r="GM123" s="119"/>
      <c r="GN123" s="119"/>
      <c r="GO123" s="119"/>
      <c r="GP123" s="119"/>
      <c r="GQ123" s="119"/>
      <c r="GR123" s="119"/>
      <c r="GS123" s="119"/>
      <c r="GT123" s="119"/>
      <c r="GU123" s="119"/>
      <c r="GV123" s="119"/>
      <c r="GW123" s="119"/>
      <c r="GX123" s="119"/>
      <c r="GY123" s="119"/>
      <c r="GZ123" s="119"/>
      <c r="HA123" s="119"/>
      <c r="HB123" s="119"/>
      <c r="HC123" s="119"/>
      <c r="HD123" s="119"/>
      <c r="HE123" s="119"/>
      <c r="HF123" s="119"/>
      <c r="HG123" s="119"/>
      <c r="HH123" s="119"/>
      <c r="HI123" s="119"/>
      <c r="HJ123" s="119"/>
      <c r="HK123" s="119"/>
      <c r="HL123" s="119"/>
      <c r="HM123" s="119"/>
      <c r="HN123" s="119"/>
      <c r="HO123" s="119"/>
      <c r="HP123" s="119"/>
      <c r="HQ123" s="119"/>
      <c r="HR123" s="119"/>
      <c r="HS123" s="119"/>
      <c r="HT123" s="119"/>
      <c r="HU123" s="119"/>
      <c r="HV123" s="119"/>
      <c r="HW123" s="119"/>
      <c r="HX123" s="119"/>
      <c r="HY123" s="119"/>
      <c r="HZ123" s="119"/>
      <c r="IA123" s="119"/>
      <c r="IB123" s="119"/>
      <c r="IC123" s="119"/>
      <c r="ID123" s="119"/>
      <c r="IE123" s="119"/>
      <c r="IF123" s="119"/>
      <c r="IG123" s="119"/>
      <c r="IH123" s="119"/>
      <c r="II123" s="119"/>
      <c r="IJ123" s="119"/>
      <c r="IK123" s="119"/>
      <c r="IL123" s="119"/>
      <c r="IM123" s="119"/>
      <c r="IN123" s="119"/>
      <c r="IO123" s="119"/>
      <c r="IP123" s="119"/>
      <c r="IQ123" s="119"/>
      <c r="IR123" s="119"/>
      <c r="IS123" s="119"/>
      <c r="IT123" s="119"/>
      <c r="IU123" s="119"/>
      <c r="IV123" s="119"/>
      <c r="IW123" s="119"/>
    </row>
    <row r="124" spans="1:257" s="187" customFormat="1" ht="18" customHeight="1" x14ac:dyDescent="0.35">
      <c r="A124" s="195">
        <v>115</v>
      </c>
      <c r="B124" s="692"/>
      <c r="C124" s="120"/>
      <c r="D124" s="1265" t="s">
        <v>900</v>
      </c>
      <c r="E124" s="127"/>
      <c r="F124" s="127"/>
      <c r="G124" s="693"/>
      <c r="H124" s="224"/>
      <c r="I124" s="559"/>
      <c r="J124" s="559"/>
      <c r="K124" s="1282"/>
      <c r="L124" s="1282">
        <v>10000</v>
      </c>
      <c r="M124" s="1282">
        <v>-10000</v>
      </c>
      <c r="N124" s="1284"/>
      <c r="O124" s="576"/>
      <c r="P124" s="1276">
        <f t="shared" ref="P124:P125" si="31">SUM(I124:N124)</f>
        <v>0</v>
      </c>
      <c r="Q124" s="694"/>
      <c r="R124" s="119"/>
      <c r="S124" s="119"/>
      <c r="T124" s="119"/>
      <c r="U124" s="119"/>
      <c r="V124" s="119"/>
      <c r="W124" s="119"/>
      <c r="X124" s="119"/>
      <c r="Y124" s="119"/>
      <c r="Z124" s="119"/>
      <c r="AA124" s="119"/>
      <c r="AB124" s="119"/>
      <c r="AC124" s="119"/>
      <c r="AD124" s="119"/>
      <c r="AE124" s="119"/>
      <c r="AF124" s="119"/>
      <c r="AG124" s="119"/>
      <c r="AH124" s="119"/>
      <c r="AI124" s="119"/>
      <c r="AJ124" s="119"/>
      <c r="AK124" s="119"/>
      <c r="AL124" s="119"/>
      <c r="AM124" s="119"/>
      <c r="AN124" s="119"/>
      <c r="AO124" s="119"/>
      <c r="AP124" s="119"/>
      <c r="AQ124" s="119"/>
      <c r="AR124" s="119"/>
      <c r="AS124" s="119"/>
      <c r="AT124" s="119"/>
      <c r="AU124" s="119"/>
      <c r="AV124" s="119"/>
      <c r="AW124" s="119"/>
      <c r="AX124" s="119"/>
      <c r="AY124" s="119"/>
      <c r="AZ124" s="119"/>
      <c r="BA124" s="119"/>
      <c r="BB124" s="119"/>
      <c r="BC124" s="119"/>
      <c r="BD124" s="119"/>
      <c r="BE124" s="119"/>
      <c r="BF124" s="119"/>
      <c r="BG124" s="119"/>
      <c r="BH124" s="119"/>
      <c r="BI124" s="119"/>
      <c r="BJ124" s="119"/>
      <c r="BK124" s="119"/>
      <c r="BL124" s="119"/>
      <c r="BM124" s="119"/>
      <c r="BN124" s="119"/>
      <c r="BO124" s="119"/>
      <c r="BP124" s="119"/>
      <c r="BQ124" s="119"/>
      <c r="BR124" s="119"/>
      <c r="BS124" s="119"/>
      <c r="BT124" s="119"/>
      <c r="BU124" s="119"/>
      <c r="BV124" s="119"/>
      <c r="BW124" s="119"/>
      <c r="BX124" s="119"/>
      <c r="BY124" s="119"/>
      <c r="BZ124" s="119"/>
      <c r="CA124" s="119"/>
      <c r="CB124" s="119"/>
      <c r="CC124" s="119"/>
      <c r="CD124" s="119"/>
      <c r="CE124" s="119"/>
      <c r="CF124" s="119"/>
      <c r="CG124" s="119"/>
      <c r="CH124" s="119"/>
      <c r="CI124" s="119"/>
      <c r="CJ124" s="119"/>
      <c r="CK124" s="119"/>
      <c r="CL124" s="119"/>
      <c r="CM124" s="119"/>
      <c r="CN124" s="119"/>
      <c r="CO124" s="119"/>
      <c r="CP124" s="119"/>
      <c r="CQ124" s="119"/>
      <c r="CR124" s="119"/>
      <c r="CS124" s="119"/>
      <c r="CT124" s="119"/>
      <c r="CU124" s="119"/>
      <c r="CV124" s="119"/>
      <c r="CW124" s="119"/>
      <c r="CX124" s="119"/>
      <c r="CY124" s="119"/>
      <c r="CZ124" s="119"/>
      <c r="DA124" s="119"/>
      <c r="DB124" s="119"/>
      <c r="DC124" s="119"/>
      <c r="DD124" s="119"/>
      <c r="DE124" s="119"/>
      <c r="DF124" s="119"/>
      <c r="DG124" s="119"/>
      <c r="DH124" s="119"/>
      <c r="DI124" s="119"/>
      <c r="DJ124" s="119"/>
      <c r="DK124" s="119"/>
      <c r="DL124" s="119"/>
      <c r="DM124" s="119"/>
      <c r="DN124" s="119"/>
      <c r="DO124" s="119"/>
      <c r="DP124" s="119"/>
      <c r="DQ124" s="119"/>
      <c r="DR124" s="119"/>
      <c r="DS124" s="119"/>
      <c r="DT124" s="119"/>
      <c r="DU124" s="119"/>
      <c r="DV124" s="119"/>
      <c r="DW124" s="119"/>
      <c r="DX124" s="119"/>
      <c r="DY124" s="119"/>
      <c r="DZ124" s="119"/>
      <c r="EA124" s="119"/>
      <c r="EB124" s="119"/>
      <c r="EC124" s="119"/>
      <c r="ED124" s="119"/>
      <c r="EE124" s="119"/>
      <c r="EF124" s="119"/>
      <c r="EG124" s="119"/>
      <c r="EH124" s="119"/>
      <c r="EI124" s="119"/>
      <c r="EJ124" s="119"/>
      <c r="EK124" s="119"/>
      <c r="EL124" s="119"/>
      <c r="EM124" s="119"/>
      <c r="EN124" s="119"/>
      <c r="EO124" s="119"/>
      <c r="EP124" s="119"/>
      <c r="EQ124" s="119"/>
      <c r="ER124" s="119"/>
      <c r="ES124" s="119"/>
      <c r="ET124" s="119"/>
      <c r="EU124" s="119"/>
      <c r="EV124" s="119"/>
      <c r="EW124" s="119"/>
      <c r="EX124" s="119"/>
      <c r="EY124" s="119"/>
      <c r="EZ124" s="119"/>
      <c r="FA124" s="119"/>
      <c r="FB124" s="119"/>
      <c r="FC124" s="119"/>
      <c r="FD124" s="119"/>
      <c r="FE124" s="119"/>
      <c r="FF124" s="119"/>
      <c r="FG124" s="119"/>
      <c r="FH124" s="119"/>
      <c r="FI124" s="119"/>
      <c r="FJ124" s="119"/>
      <c r="FK124" s="119"/>
      <c r="FL124" s="119"/>
      <c r="FM124" s="119"/>
      <c r="FN124" s="119"/>
      <c r="FO124" s="119"/>
      <c r="FP124" s="119"/>
      <c r="FQ124" s="119"/>
      <c r="FR124" s="119"/>
      <c r="FS124" s="119"/>
      <c r="FT124" s="119"/>
      <c r="FU124" s="119"/>
      <c r="FV124" s="119"/>
      <c r="FW124" s="119"/>
      <c r="FX124" s="119"/>
      <c r="FY124" s="119"/>
      <c r="FZ124" s="119"/>
      <c r="GA124" s="119"/>
      <c r="GB124" s="119"/>
      <c r="GC124" s="119"/>
      <c r="GD124" s="119"/>
      <c r="GE124" s="119"/>
      <c r="GF124" s="119"/>
      <c r="GG124" s="119"/>
      <c r="GH124" s="119"/>
      <c r="GI124" s="119"/>
      <c r="GJ124" s="119"/>
      <c r="GK124" s="119"/>
      <c r="GL124" s="119"/>
      <c r="GM124" s="119"/>
      <c r="GN124" s="119"/>
      <c r="GO124" s="119"/>
      <c r="GP124" s="119"/>
      <c r="GQ124" s="119"/>
      <c r="GR124" s="119"/>
      <c r="GS124" s="119"/>
      <c r="GT124" s="119"/>
      <c r="GU124" s="119"/>
      <c r="GV124" s="119"/>
      <c r="GW124" s="119"/>
      <c r="GX124" s="119"/>
      <c r="GY124" s="119"/>
      <c r="GZ124" s="119"/>
      <c r="HA124" s="119"/>
      <c r="HB124" s="119"/>
      <c r="HC124" s="119"/>
      <c r="HD124" s="119"/>
      <c r="HE124" s="119"/>
      <c r="HF124" s="119"/>
      <c r="HG124" s="119"/>
      <c r="HH124" s="119"/>
      <c r="HI124" s="119"/>
      <c r="HJ124" s="119"/>
      <c r="HK124" s="119"/>
      <c r="HL124" s="119"/>
      <c r="HM124" s="119"/>
      <c r="HN124" s="119"/>
      <c r="HO124" s="119"/>
      <c r="HP124" s="119"/>
      <c r="HQ124" s="119"/>
      <c r="HR124" s="119"/>
      <c r="HS124" s="119"/>
      <c r="HT124" s="119"/>
      <c r="HU124" s="119"/>
      <c r="HV124" s="119"/>
      <c r="HW124" s="119"/>
      <c r="HX124" s="119"/>
      <c r="HY124" s="119"/>
      <c r="HZ124" s="119"/>
      <c r="IA124" s="119"/>
      <c r="IB124" s="119"/>
      <c r="IC124" s="119"/>
      <c r="ID124" s="119"/>
      <c r="IE124" s="119"/>
      <c r="IF124" s="119"/>
      <c r="IG124" s="119"/>
      <c r="IH124" s="119"/>
      <c r="II124" s="119"/>
      <c r="IJ124" s="119"/>
      <c r="IK124" s="119"/>
      <c r="IL124" s="119"/>
      <c r="IM124" s="119"/>
      <c r="IN124" s="119"/>
      <c r="IO124" s="119"/>
      <c r="IP124" s="119"/>
      <c r="IQ124" s="119"/>
      <c r="IR124" s="119"/>
      <c r="IS124" s="119"/>
      <c r="IT124" s="119"/>
      <c r="IU124" s="119"/>
      <c r="IV124" s="119"/>
      <c r="IW124" s="119"/>
    </row>
    <row r="125" spans="1:257" s="187" customFormat="1" ht="18" customHeight="1" x14ac:dyDescent="0.35">
      <c r="A125" s="195">
        <v>116</v>
      </c>
      <c r="B125" s="692"/>
      <c r="C125" s="548"/>
      <c r="D125" s="1268" t="s">
        <v>862</v>
      </c>
      <c r="E125" s="238"/>
      <c r="F125" s="238"/>
      <c r="G125" s="576"/>
      <c r="H125" s="240"/>
      <c r="I125" s="1270"/>
      <c r="J125" s="1270"/>
      <c r="K125" s="1270"/>
      <c r="L125" s="1270">
        <f>SUM(L123:L124)</f>
        <v>10000</v>
      </c>
      <c r="M125" s="1270">
        <f>SUM(M123:M124)</f>
        <v>12000</v>
      </c>
      <c r="N125" s="1271"/>
      <c r="O125" s="576"/>
      <c r="P125" s="1275">
        <f t="shared" si="31"/>
        <v>22000</v>
      </c>
      <c r="Q125" s="1246"/>
      <c r="R125" s="119"/>
      <c r="S125" s="119"/>
      <c r="T125" s="119"/>
      <c r="U125" s="119"/>
      <c r="V125" s="119"/>
      <c r="W125" s="119"/>
      <c r="X125" s="119"/>
      <c r="Y125" s="119"/>
      <c r="Z125" s="119"/>
      <c r="AA125" s="119"/>
      <c r="AB125" s="119"/>
      <c r="AC125" s="119"/>
      <c r="AD125" s="119"/>
      <c r="AE125" s="119"/>
      <c r="AF125" s="119"/>
      <c r="AG125" s="119"/>
      <c r="AH125" s="119"/>
      <c r="AI125" s="119"/>
      <c r="AJ125" s="119"/>
      <c r="AK125" s="119"/>
      <c r="AL125" s="119"/>
      <c r="AM125" s="119"/>
      <c r="AN125" s="119"/>
      <c r="AO125" s="119"/>
      <c r="AP125" s="119"/>
      <c r="AQ125" s="119"/>
      <c r="AR125" s="119"/>
      <c r="AS125" s="119"/>
      <c r="AT125" s="119"/>
      <c r="AU125" s="119"/>
      <c r="AV125" s="119"/>
      <c r="AW125" s="119"/>
      <c r="AX125" s="119"/>
      <c r="AY125" s="119"/>
      <c r="AZ125" s="119"/>
      <c r="BA125" s="119"/>
      <c r="BB125" s="119"/>
      <c r="BC125" s="119"/>
      <c r="BD125" s="119"/>
      <c r="BE125" s="119"/>
      <c r="BF125" s="119"/>
      <c r="BG125" s="119"/>
      <c r="BH125" s="119"/>
      <c r="BI125" s="119"/>
      <c r="BJ125" s="119"/>
      <c r="BK125" s="119"/>
      <c r="BL125" s="119"/>
      <c r="BM125" s="119"/>
      <c r="BN125" s="119"/>
      <c r="BO125" s="119"/>
      <c r="BP125" s="119"/>
      <c r="BQ125" s="119"/>
      <c r="BR125" s="119"/>
      <c r="BS125" s="119"/>
      <c r="BT125" s="119"/>
      <c r="BU125" s="119"/>
      <c r="BV125" s="119"/>
      <c r="BW125" s="119"/>
      <c r="BX125" s="119"/>
      <c r="BY125" s="119"/>
      <c r="BZ125" s="119"/>
      <c r="CA125" s="119"/>
      <c r="CB125" s="119"/>
      <c r="CC125" s="119"/>
      <c r="CD125" s="119"/>
      <c r="CE125" s="119"/>
      <c r="CF125" s="119"/>
      <c r="CG125" s="119"/>
      <c r="CH125" s="119"/>
      <c r="CI125" s="119"/>
      <c r="CJ125" s="119"/>
      <c r="CK125" s="119"/>
      <c r="CL125" s="119"/>
      <c r="CM125" s="119"/>
      <c r="CN125" s="119"/>
      <c r="CO125" s="119"/>
      <c r="CP125" s="119"/>
      <c r="CQ125" s="119"/>
      <c r="CR125" s="119"/>
      <c r="CS125" s="119"/>
      <c r="CT125" s="119"/>
      <c r="CU125" s="119"/>
      <c r="CV125" s="119"/>
      <c r="CW125" s="119"/>
      <c r="CX125" s="119"/>
      <c r="CY125" s="119"/>
      <c r="CZ125" s="119"/>
      <c r="DA125" s="119"/>
      <c r="DB125" s="119"/>
      <c r="DC125" s="119"/>
      <c r="DD125" s="119"/>
      <c r="DE125" s="119"/>
      <c r="DF125" s="119"/>
      <c r="DG125" s="119"/>
      <c r="DH125" s="119"/>
      <c r="DI125" s="119"/>
      <c r="DJ125" s="119"/>
      <c r="DK125" s="119"/>
      <c r="DL125" s="119"/>
      <c r="DM125" s="119"/>
      <c r="DN125" s="119"/>
      <c r="DO125" s="119"/>
      <c r="DP125" s="119"/>
      <c r="DQ125" s="119"/>
      <c r="DR125" s="119"/>
      <c r="DS125" s="119"/>
      <c r="DT125" s="119"/>
      <c r="DU125" s="119"/>
      <c r="DV125" s="119"/>
      <c r="DW125" s="119"/>
      <c r="DX125" s="119"/>
      <c r="DY125" s="119"/>
      <c r="DZ125" s="119"/>
      <c r="EA125" s="119"/>
      <c r="EB125" s="119"/>
      <c r="EC125" s="119"/>
      <c r="ED125" s="119"/>
      <c r="EE125" s="119"/>
      <c r="EF125" s="119"/>
      <c r="EG125" s="119"/>
      <c r="EH125" s="119"/>
      <c r="EI125" s="119"/>
      <c r="EJ125" s="119"/>
      <c r="EK125" s="119"/>
      <c r="EL125" s="119"/>
      <c r="EM125" s="119"/>
      <c r="EN125" s="119"/>
      <c r="EO125" s="119"/>
      <c r="EP125" s="119"/>
      <c r="EQ125" s="119"/>
      <c r="ER125" s="119"/>
      <c r="ES125" s="119"/>
      <c r="ET125" s="119"/>
      <c r="EU125" s="119"/>
      <c r="EV125" s="119"/>
      <c r="EW125" s="119"/>
      <c r="EX125" s="119"/>
      <c r="EY125" s="119"/>
      <c r="EZ125" s="119"/>
      <c r="FA125" s="119"/>
      <c r="FB125" s="119"/>
      <c r="FC125" s="119"/>
      <c r="FD125" s="119"/>
      <c r="FE125" s="119"/>
      <c r="FF125" s="119"/>
      <c r="FG125" s="119"/>
      <c r="FH125" s="119"/>
      <c r="FI125" s="119"/>
      <c r="FJ125" s="119"/>
      <c r="FK125" s="119"/>
      <c r="FL125" s="119"/>
      <c r="FM125" s="119"/>
      <c r="FN125" s="119"/>
      <c r="FO125" s="119"/>
      <c r="FP125" s="119"/>
      <c r="FQ125" s="119"/>
      <c r="FR125" s="119"/>
      <c r="FS125" s="119"/>
      <c r="FT125" s="119"/>
      <c r="FU125" s="119"/>
      <c r="FV125" s="119"/>
      <c r="FW125" s="119"/>
      <c r="FX125" s="119"/>
      <c r="FY125" s="119"/>
      <c r="FZ125" s="119"/>
      <c r="GA125" s="119"/>
      <c r="GB125" s="119"/>
      <c r="GC125" s="119"/>
      <c r="GD125" s="119"/>
      <c r="GE125" s="119"/>
      <c r="GF125" s="119"/>
      <c r="GG125" s="119"/>
      <c r="GH125" s="119"/>
      <c r="GI125" s="119"/>
      <c r="GJ125" s="119"/>
      <c r="GK125" s="119"/>
      <c r="GL125" s="119"/>
      <c r="GM125" s="119"/>
      <c r="GN125" s="119"/>
      <c r="GO125" s="119"/>
      <c r="GP125" s="119"/>
      <c r="GQ125" s="119"/>
      <c r="GR125" s="119"/>
      <c r="GS125" s="119"/>
      <c r="GT125" s="119"/>
      <c r="GU125" s="119"/>
      <c r="GV125" s="119"/>
      <c r="GW125" s="119"/>
      <c r="GX125" s="119"/>
      <c r="GY125" s="119"/>
      <c r="GZ125" s="119"/>
      <c r="HA125" s="119"/>
      <c r="HB125" s="119"/>
      <c r="HC125" s="119"/>
      <c r="HD125" s="119"/>
      <c r="HE125" s="119"/>
      <c r="HF125" s="119"/>
      <c r="HG125" s="119"/>
      <c r="HH125" s="119"/>
      <c r="HI125" s="119"/>
      <c r="HJ125" s="119"/>
      <c r="HK125" s="119"/>
      <c r="HL125" s="119"/>
      <c r="HM125" s="119"/>
      <c r="HN125" s="119"/>
      <c r="HO125" s="119"/>
      <c r="HP125" s="119"/>
      <c r="HQ125" s="119"/>
      <c r="HR125" s="119"/>
      <c r="HS125" s="119"/>
      <c r="HT125" s="119"/>
      <c r="HU125" s="119"/>
      <c r="HV125" s="119"/>
      <c r="HW125" s="119"/>
      <c r="HX125" s="119"/>
      <c r="HY125" s="119"/>
      <c r="HZ125" s="119"/>
      <c r="IA125" s="119"/>
      <c r="IB125" s="119"/>
      <c r="IC125" s="119"/>
      <c r="ID125" s="119"/>
      <c r="IE125" s="119"/>
      <c r="IF125" s="119"/>
      <c r="IG125" s="119"/>
      <c r="IH125" s="119"/>
      <c r="II125" s="119"/>
      <c r="IJ125" s="119"/>
      <c r="IK125" s="119"/>
      <c r="IL125" s="119"/>
      <c r="IM125" s="119"/>
      <c r="IN125" s="119"/>
      <c r="IO125" s="119"/>
      <c r="IP125" s="119"/>
      <c r="IQ125" s="119"/>
      <c r="IR125" s="119"/>
      <c r="IS125" s="119"/>
      <c r="IT125" s="119"/>
      <c r="IU125" s="119"/>
      <c r="IV125" s="119"/>
      <c r="IW125" s="119"/>
    </row>
    <row r="126" spans="1:257" s="187" customFormat="1" ht="69.75" customHeight="1" x14ac:dyDescent="0.35">
      <c r="A126" s="195">
        <v>117</v>
      </c>
      <c r="B126" s="692"/>
      <c r="C126" s="120">
        <v>41</v>
      </c>
      <c r="D126" s="1493" t="s">
        <v>1013</v>
      </c>
      <c r="E126" s="127">
        <f>F126+G126+P129</f>
        <v>110000</v>
      </c>
      <c r="F126" s="127"/>
      <c r="G126" s="693"/>
      <c r="H126" s="224" t="s">
        <v>24</v>
      </c>
      <c r="I126" s="559"/>
      <c r="J126" s="559"/>
      <c r="K126" s="559"/>
      <c r="L126" s="559"/>
      <c r="M126" s="559"/>
      <c r="N126" s="1284"/>
      <c r="O126" s="693"/>
      <c r="P126" s="1272"/>
      <c r="Q126" s="694"/>
      <c r="R126" s="119"/>
      <c r="S126" s="119"/>
      <c r="T126" s="119"/>
      <c r="U126" s="119"/>
      <c r="V126" s="119"/>
      <c r="W126" s="119"/>
      <c r="X126" s="119"/>
      <c r="Y126" s="119"/>
      <c r="Z126" s="119"/>
      <c r="AA126" s="119"/>
      <c r="AB126" s="119"/>
      <c r="AC126" s="119"/>
      <c r="AD126" s="119"/>
      <c r="AE126" s="119"/>
      <c r="AF126" s="119"/>
      <c r="AG126" s="119"/>
      <c r="AH126" s="119"/>
      <c r="AI126" s="119"/>
      <c r="AJ126" s="119"/>
      <c r="AK126" s="119"/>
      <c r="AL126" s="119"/>
      <c r="AM126" s="119"/>
      <c r="AN126" s="119"/>
      <c r="AO126" s="119"/>
      <c r="AP126" s="119"/>
      <c r="AQ126" s="119"/>
      <c r="AR126" s="119"/>
      <c r="AS126" s="119"/>
      <c r="AT126" s="119"/>
      <c r="AU126" s="119"/>
      <c r="AV126" s="119"/>
      <c r="AW126" s="119"/>
      <c r="AX126" s="119"/>
      <c r="AY126" s="119"/>
      <c r="AZ126" s="119"/>
      <c r="BA126" s="119"/>
      <c r="BB126" s="119"/>
      <c r="BC126" s="119"/>
      <c r="BD126" s="119"/>
      <c r="BE126" s="119"/>
      <c r="BF126" s="119"/>
      <c r="BG126" s="119"/>
      <c r="BH126" s="119"/>
      <c r="BI126" s="119"/>
      <c r="BJ126" s="119"/>
      <c r="BK126" s="119"/>
      <c r="BL126" s="119"/>
      <c r="BM126" s="119"/>
      <c r="BN126" s="119"/>
      <c r="BO126" s="119"/>
      <c r="BP126" s="119"/>
      <c r="BQ126" s="119"/>
      <c r="BR126" s="119"/>
      <c r="BS126" s="119"/>
      <c r="BT126" s="119"/>
      <c r="BU126" s="119"/>
      <c r="BV126" s="119"/>
      <c r="BW126" s="119"/>
      <c r="BX126" s="119"/>
      <c r="BY126" s="119"/>
      <c r="BZ126" s="119"/>
      <c r="CA126" s="119"/>
      <c r="CB126" s="119"/>
      <c r="CC126" s="119"/>
      <c r="CD126" s="119"/>
      <c r="CE126" s="119"/>
      <c r="CF126" s="119"/>
      <c r="CG126" s="119"/>
      <c r="CH126" s="119"/>
      <c r="CI126" s="119"/>
      <c r="CJ126" s="119"/>
      <c r="CK126" s="119"/>
      <c r="CL126" s="119"/>
      <c r="CM126" s="119"/>
      <c r="CN126" s="119"/>
      <c r="CO126" s="119"/>
      <c r="CP126" s="119"/>
      <c r="CQ126" s="119"/>
      <c r="CR126" s="119"/>
      <c r="CS126" s="119"/>
      <c r="CT126" s="119"/>
      <c r="CU126" s="119"/>
      <c r="CV126" s="119"/>
      <c r="CW126" s="119"/>
      <c r="CX126" s="119"/>
      <c r="CY126" s="119"/>
      <c r="CZ126" s="119"/>
      <c r="DA126" s="119"/>
      <c r="DB126" s="119"/>
      <c r="DC126" s="119"/>
      <c r="DD126" s="119"/>
      <c r="DE126" s="119"/>
      <c r="DF126" s="119"/>
      <c r="DG126" s="119"/>
      <c r="DH126" s="119"/>
      <c r="DI126" s="119"/>
      <c r="DJ126" s="119"/>
      <c r="DK126" s="119"/>
      <c r="DL126" s="119"/>
      <c r="DM126" s="119"/>
      <c r="DN126" s="119"/>
      <c r="DO126" s="119"/>
      <c r="DP126" s="119"/>
      <c r="DQ126" s="119"/>
      <c r="DR126" s="119"/>
      <c r="DS126" s="119"/>
      <c r="DT126" s="119"/>
      <c r="DU126" s="119"/>
      <c r="DV126" s="119"/>
      <c r="DW126" s="119"/>
      <c r="DX126" s="119"/>
      <c r="DY126" s="119"/>
      <c r="DZ126" s="119"/>
      <c r="EA126" s="119"/>
      <c r="EB126" s="119"/>
      <c r="EC126" s="119"/>
      <c r="ED126" s="119"/>
      <c r="EE126" s="119"/>
      <c r="EF126" s="119"/>
      <c r="EG126" s="119"/>
      <c r="EH126" s="119"/>
      <c r="EI126" s="119"/>
      <c r="EJ126" s="119"/>
      <c r="EK126" s="119"/>
      <c r="EL126" s="119"/>
      <c r="EM126" s="119"/>
      <c r="EN126" s="119"/>
      <c r="EO126" s="119"/>
      <c r="EP126" s="119"/>
      <c r="EQ126" s="119"/>
      <c r="ER126" s="119"/>
      <c r="ES126" s="119"/>
      <c r="ET126" s="119"/>
      <c r="EU126" s="119"/>
      <c r="EV126" s="119"/>
      <c r="EW126" s="119"/>
      <c r="EX126" s="119"/>
      <c r="EY126" s="119"/>
      <c r="EZ126" s="119"/>
      <c r="FA126" s="119"/>
      <c r="FB126" s="119"/>
      <c r="FC126" s="119"/>
      <c r="FD126" s="119"/>
      <c r="FE126" s="119"/>
      <c r="FF126" s="119"/>
      <c r="FG126" s="119"/>
      <c r="FH126" s="119"/>
      <c r="FI126" s="119"/>
      <c r="FJ126" s="119"/>
      <c r="FK126" s="119"/>
      <c r="FL126" s="119"/>
      <c r="FM126" s="119"/>
      <c r="FN126" s="119"/>
      <c r="FO126" s="119"/>
      <c r="FP126" s="119"/>
      <c r="FQ126" s="119"/>
      <c r="FR126" s="119"/>
      <c r="FS126" s="119"/>
      <c r="FT126" s="119"/>
      <c r="FU126" s="119"/>
      <c r="FV126" s="119"/>
      <c r="FW126" s="119"/>
      <c r="FX126" s="119"/>
      <c r="FY126" s="119"/>
      <c r="FZ126" s="119"/>
      <c r="GA126" s="119"/>
      <c r="GB126" s="119"/>
      <c r="GC126" s="119"/>
      <c r="GD126" s="119"/>
      <c r="GE126" s="119"/>
      <c r="GF126" s="119"/>
      <c r="GG126" s="119"/>
      <c r="GH126" s="119"/>
      <c r="GI126" s="119"/>
      <c r="GJ126" s="119"/>
      <c r="GK126" s="119"/>
      <c r="GL126" s="119"/>
      <c r="GM126" s="119"/>
      <c r="GN126" s="119"/>
      <c r="GO126" s="119"/>
      <c r="GP126" s="119"/>
      <c r="GQ126" s="119"/>
      <c r="GR126" s="119"/>
      <c r="GS126" s="119"/>
      <c r="GT126" s="119"/>
      <c r="GU126" s="119"/>
      <c r="GV126" s="119"/>
      <c r="GW126" s="119"/>
      <c r="GX126" s="119"/>
      <c r="GY126" s="119"/>
      <c r="GZ126" s="119"/>
      <c r="HA126" s="119"/>
      <c r="HB126" s="119"/>
      <c r="HC126" s="119"/>
      <c r="HD126" s="119"/>
      <c r="HE126" s="119"/>
      <c r="HF126" s="119"/>
      <c r="HG126" s="119"/>
      <c r="HH126" s="119"/>
      <c r="HI126" s="119"/>
      <c r="HJ126" s="119"/>
      <c r="HK126" s="119"/>
      <c r="HL126" s="119"/>
      <c r="HM126" s="119"/>
      <c r="HN126" s="119"/>
      <c r="HO126" s="119"/>
      <c r="HP126" s="119"/>
      <c r="HQ126" s="119"/>
      <c r="HR126" s="119"/>
      <c r="HS126" s="119"/>
      <c r="HT126" s="119"/>
      <c r="HU126" s="119"/>
      <c r="HV126" s="119"/>
      <c r="HW126" s="119"/>
      <c r="HX126" s="119"/>
      <c r="HY126" s="119"/>
      <c r="HZ126" s="119"/>
      <c r="IA126" s="119"/>
      <c r="IB126" s="119"/>
      <c r="IC126" s="119"/>
      <c r="ID126" s="119"/>
      <c r="IE126" s="119"/>
      <c r="IF126" s="119"/>
      <c r="IG126" s="119"/>
      <c r="IH126" s="119"/>
      <c r="II126" s="119"/>
      <c r="IJ126" s="119"/>
      <c r="IK126" s="119"/>
      <c r="IL126" s="119"/>
      <c r="IM126" s="119"/>
      <c r="IN126" s="119"/>
      <c r="IO126" s="119"/>
      <c r="IP126" s="119"/>
      <c r="IQ126" s="119"/>
      <c r="IR126" s="119"/>
      <c r="IS126" s="119"/>
      <c r="IT126" s="119"/>
      <c r="IU126" s="119"/>
      <c r="IV126" s="119"/>
      <c r="IW126" s="119"/>
    </row>
    <row r="127" spans="1:257" s="187" customFormat="1" ht="18" customHeight="1" x14ac:dyDescent="0.35">
      <c r="A127" s="195">
        <v>118</v>
      </c>
      <c r="B127" s="692"/>
      <c r="C127" s="120"/>
      <c r="D127" s="1266" t="s">
        <v>808</v>
      </c>
      <c r="E127" s="127"/>
      <c r="F127" s="127"/>
      <c r="G127" s="693"/>
      <c r="H127" s="224"/>
      <c r="I127" s="559"/>
      <c r="J127" s="559"/>
      <c r="K127" s="559"/>
      <c r="L127" s="559"/>
      <c r="M127" s="559">
        <v>110000</v>
      </c>
      <c r="N127" s="1284"/>
      <c r="O127" s="576"/>
      <c r="P127" s="1275">
        <f>SUM(I127:N127)</f>
        <v>110000</v>
      </c>
      <c r="Q127" s="694"/>
      <c r="R127" s="119"/>
      <c r="S127" s="119"/>
      <c r="T127" s="119"/>
      <c r="U127" s="119"/>
      <c r="V127" s="119"/>
      <c r="W127" s="119"/>
      <c r="X127" s="119"/>
      <c r="Y127" s="119"/>
      <c r="Z127" s="119"/>
      <c r="AA127" s="119"/>
      <c r="AB127" s="119"/>
      <c r="AC127" s="119"/>
      <c r="AD127" s="119"/>
      <c r="AE127" s="119"/>
      <c r="AF127" s="119"/>
      <c r="AG127" s="119"/>
      <c r="AH127" s="119"/>
      <c r="AI127" s="119"/>
      <c r="AJ127" s="119"/>
      <c r="AK127" s="119"/>
      <c r="AL127" s="119"/>
      <c r="AM127" s="119"/>
      <c r="AN127" s="119"/>
      <c r="AO127" s="119"/>
      <c r="AP127" s="119"/>
      <c r="AQ127" s="119"/>
      <c r="AR127" s="119"/>
      <c r="AS127" s="119"/>
      <c r="AT127" s="119"/>
      <c r="AU127" s="119"/>
      <c r="AV127" s="119"/>
      <c r="AW127" s="119"/>
      <c r="AX127" s="119"/>
      <c r="AY127" s="119"/>
      <c r="AZ127" s="119"/>
      <c r="BA127" s="119"/>
      <c r="BB127" s="119"/>
      <c r="BC127" s="119"/>
      <c r="BD127" s="119"/>
      <c r="BE127" s="119"/>
      <c r="BF127" s="119"/>
      <c r="BG127" s="119"/>
      <c r="BH127" s="119"/>
      <c r="BI127" s="119"/>
      <c r="BJ127" s="119"/>
      <c r="BK127" s="119"/>
      <c r="BL127" s="119"/>
      <c r="BM127" s="119"/>
      <c r="BN127" s="119"/>
      <c r="BO127" s="119"/>
      <c r="BP127" s="119"/>
      <c r="BQ127" s="119"/>
      <c r="BR127" s="119"/>
      <c r="BS127" s="119"/>
      <c r="BT127" s="119"/>
      <c r="BU127" s="119"/>
      <c r="BV127" s="119"/>
      <c r="BW127" s="119"/>
      <c r="BX127" s="119"/>
      <c r="BY127" s="119"/>
      <c r="BZ127" s="119"/>
      <c r="CA127" s="119"/>
      <c r="CB127" s="119"/>
      <c r="CC127" s="119"/>
      <c r="CD127" s="119"/>
      <c r="CE127" s="119"/>
      <c r="CF127" s="119"/>
      <c r="CG127" s="119"/>
      <c r="CH127" s="119"/>
      <c r="CI127" s="119"/>
      <c r="CJ127" s="119"/>
      <c r="CK127" s="119"/>
      <c r="CL127" s="119"/>
      <c r="CM127" s="119"/>
      <c r="CN127" s="119"/>
      <c r="CO127" s="119"/>
      <c r="CP127" s="119"/>
      <c r="CQ127" s="119"/>
      <c r="CR127" s="119"/>
      <c r="CS127" s="119"/>
      <c r="CT127" s="119"/>
      <c r="CU127" s="119"/>
      <c r="CV127" s="119"/>
      <c r="CW127" s="119"/>
      <c r="CX127" s="119"/>
      <c r="CY127" s="119"/>
      <c r="CZ127" s="119"/>
      <c r="DA127" s="119"/>
      <c r="DB127" s="119"/>
      <c r="DC127" s="119"/>
      <c r="DD127" s="119"/>
      <c r="DE127" s="119"/>
      <c r="DF127" s="119"/>
      <c r="DG127" s="119"/>
      <c r="DH127" s="119"/>
      <c r="DI127" s="119"/>
      <c r="DJ127" s="119"/>
      <c r="DK127" s="119"/>
      <c r="DL127" s="119"/>
      <c r="DM127" s="119"/>
      <c r="DN127" s="119"/>
      <c r="DO127" s="119"/>
      <c r="DP127" s="119"/>
      <c r="DQ127" s="119"/>
      <c r="DR127" s="119"/>
      <c r="DS127" s="119"/>
      <c r="DT127" s="119"/>
      <c r="DU127" s="119"/>
      <c r="DV127" s="119"/>
      <c r="DW127" s="119"/>
      <c r="DX127" s="119"/>
      <c r="DY127" s="119"/>
      <c r="DZ127" s="119"/>
      <c r="EA127" s="119"/>
      <c r="EB127" s="119"/>
      <c r="EC127" s="119"/>
      <c r="ED127" s="119"/>
      <c r="EE127" s="119"/>
      <c r="EF127" s="119"/>
      <c r="EG127" s="119"/>
      <c r="EH127" s="119"/>
      <c r="EI127" s="119"/>
      <c r="EJ127" s="119"/>
      <c r="EK127" s="119"/>
      <c r="EL127" s="119"/>
      <c r="EM127" s="119"/>
      <c r="EN127" s="119"/>
      <c r="EO127" s="119"/>
      <c r="EP127" s="119"/>
      <c r="EQ127" s="119"/>
      <c r="ER127" s="119"/>
      <c r="ES127" s="119"/>
      <c r="ET127" s="119"/>
      <c r="EU127" s="119"/>
      <c r="EV127" s="119"/>
      <c r="EW127" s="119"/>
      <c r="EX127" s="119"/>
      <c r="EY127" s="119"/>
      <c r="EZ127" s="119"/>
      <c r="FA127" s="119"/>
      <c r="FB127" s="119"/>
      <c r="FC127" s="119"/>
      <c r="FD127" s="119"/>
      <c r="FE127" s="119"/>
      <c r="FF127" s="119"/>
      <c r="FG127" s="119"/>
      <c r="FH127" s="119"/>
      <c r="FI127" s="119"/>
      <c r="FJ127" s="119"/>
      <c r="FK127" s="119"/>
      <c r="FL127" s="119"/>
      <c r="FM127" s="119"/>
      <c r="FN127" s="119"/>
      <c r="FO127" s="119"/>
      <c r="FP127" s="119"/>
      <c r="FQ127" s="119"/>
      <c r="FR127" s="119"/>
      <c r="FS127" s="119"/>
      <c r="FT127" s="119"/>
      <c r="FU127" s="119"/>
      <c r="FV127" s="119"/>
      <c r="FW127" s="119"/>
      <c r="FX127" s="119"/>
      <c r="FY127" s="119"/>
      <c r="FZ127" s="119"/>
      <c r="GA127" s="119"/>
      <c r="GB127" s="119"/>
      <c r="GC127" s="119"/>
      <c r="GD127" s="119"/>
      <c r="GE127" s="119"/>
      <c r="GF127" s="119"/>
      <c r="GG127" s="119"/>
      <c r="GH127" s="119"/>
      <c r="GI127" s="119"/>
      <c r="GJ127" s="119"/>
      <c r="GK127" s="119"/>
      <c r="GL127" s="119"/>
      <c r="GM127" s="119"/>
      <c r="GN127" s="119"/>
      <c r="GO127" s="119"/>
      <c r="GP127" s="119"/>
      <c r="GQ127" s="119"/>
      <c r="GR127" s="119"/>
      <c r="GS127" s="119"/>
      <c r="GT127" s="119"/>
      <c r="GU127" s="119"/>
      <c r="GV127" s="119"/>
      <c r="GW127" s="119"/>
      <c r="GX127" s="119"/>
      <c r="GY127" s="119"/>
      <c r="GZ127" s="119"/>
      <c r="HA127" s="119"/>
      <c r="HB127" s="119"/>
      <c r="HC127" s="119"/>
      <c r="HD127" s="119"/>
      <c r="HE127" s="119"/>
      <c r="HF127" s="119"/>
      <c r="HG127" s="119"/>
      <c r="HH127" s="119"/>
      <c r="HI127" s="119"/>
      <c r="HJ127" s="119"/>
      <c r="HK127" s="119"/>
      <c r="HL127" s="119"/>
      <c r="HM127" s="119"/>
      <c r="HN127" s="119"/>
      <c r="HO127" s="119"/>
      <c r="HP127" s="119"/>
      <c r="HQ127" s="119"/>
      <c r="HR127" s="119"/>
      <c r="HS127" s="119"/>
      <c r="HT127" s="119"/>
      <c r="HU127" s="119"/>
      <c r="HV127" s="119"/>
      <c r="HW127" s="119"/>
      <c r="HX127" s="119"/>
      <c r="HY127" s="119"/>
      <c r="HZ127" s="119"/>
      <c r="IA127" s="119"/>
      <c r="IB127" s="119"/>
      <c r="IC127" s="119"/>
      <c r="ID127" s="119"/>
      <c r="IE127" s="119"/>
      <c r="IF127" s="119"/>
      <c r="IG127" s="119"/>
      <c r="IH127" s="119"/>
      <c r="II127" s="119"/>
      <c r="IJ127" s="119"/>
      <c r="IK127" s="119"/>
      <c r="IL127" s="119"/>
      <c r="IM127" s="119"/>
      <c r="IN127" s="119"/>
      <c r="IO127" s="119"/>
      <c r="IP127" s="119"/>
      <c r="IQ127" s="119"/>
      <c r="IR127" s="119"/>
      <c r="IS127" s="119"/>
      <c r="IT127" s="119"/>
      <c r="IU127" s="119"/>
      <c r="IV127" s="119"/>
      <c r="IW127" s="119"/>
    </row>
    <row r="128" spans="1:257" s="187" customFormat="1" ht="18" customHeight="1" x14ac:dyDescent="0.35">
      <c r="A128" s="195">
        <v>119</v>
      </c>
      <c r="B128" s="692"/>
      <c r="C128" s="120"/>
      <c r="D128" s="1265" t="s">
        <v>900</v>
      </c>
      <c r="E128" s="127"/>
      <c r="F128" s="127"/>
      <c r="G128" s="693"/>
      <c r="H128" s="224"/>
      <c r="I128" s="559"/>
      <c r="J128" s="559"/>
      <c r="K128" s="1282">
        <v>1700</v>
      </c>
      <c r="L128" s="559"/>
      <c r="M128" s="1282">
        <v>-1700</v>
      </c>
      <c r="N128" s="1284"/>
      <c r="O128" s="576"/>
      <c r="P128" s="1276">
        <f t="shared" ref="P128:P129" si="32">SUM(I128:N128)</f>
        <v>0</v>
      </c>
      <c r="Q128" s="694"/>
      <c r="R128" s="119"/>
      <c r="S128" s="119"/>
      <c r="T128" s="119"/>
      <c r="U128" s="119"/>
      <c r="V128" s="119"/>
      <c r="W128" s="119"/>
      <c r="X128" s="119"/>
      <c r="Y128" s="119"/>
      <c r="Z128" s="119"/>
      <c r="AA128" s="119"/>
      <c r="AB128" s="119"/>
      <c r="AC128" s="119"/>
      <c r="AD128" s="119"/>
      <c r="AE128" s="119"/>
      <c r="AF128" s="119"/>
      <c r="AG128" s="119"/>
      <c r="AH128" s="119"/>
      <c r="AI128" s="119"/>
      <c r="AJ128" s="119"/>
      <c r="AK128" s="119"/>
      <c r="AL128" s="119"/>
      <c r="AM128" s="119"/>
      <c r="AN128" s="119"/>
      <c r="AO128" s="119"/>
      <c r="AP128" s="119"/>
      <c r="AQ128" s="119"/>
      <c r="AR128" s="119"/>
      <c r="AS128" s="119"/>
      <c r="AT128" s="119"/>
      <c r="AU128" s="119"/>
      <c r="AV128" s="119"/>
      <c r="AW128" s="119"/>
      <c r="AX128" s="119"/>
      <c r="AY128" s="119"/>
      <c r="AZ128" s="119"/>
      <c r="BA128" s="119"/>
      <c r="BB128" s="119"/>
      <c r="BC128" s="119"/>
      <c r="BD128" s="119"/>
      <c r="BE128" s="119"/>
      <c r="BF128" s="119"/>
      <c r="BG128" s="119"/>
      <c r="BH128" s="119"/>
      <c r="BI128" s="119"/>
      <c r="BJ128" s="119"/>
      <c r="BK128" s="119"/>
      <c r="BL128" s="119"/>
      <c r="BM128" s="119"/>
      <c r="BN128" s="119"/>
      <c r="BO128" s="119"/>
      <c r="BP128" s="119"/>
      <c r="BQ128" s="119"/>
      <c r="BR128" s="119"/>
      <c r="BS128" s="119"/>
      <c r="BT128" s="119"/>
      <c r="BU128" s="119"/>
      <c r="BV128" s="119"/>
      <c r="BW128" s="119"/>
      <c r="BX128" s="119"/>
      <c r="BY128" s="119"/>
      <c r="BZ128" s="119"/>
      <c r="CA128" s="119"/>
      <c r="CB128" s="119"/>
      <c r="CC128" s="119"/>
      <c r="CD128" s="119"/>
      <c r="CE128" s="119"/>
      <c r="CF128" s="119"/>
      <c r="CG128" s="119"/>
      <c r="CH128" s="119"/>
      <c r="CI128" s="119"/>
      <c r="CJ128" s="119"/>
      <c r="CK128" s="119"/>
      <c r="CL128" s="119"/>
      <c r="CM128" s="119"/>
      <c r="CN128" s="119"/>
      <c r="CO128" s="119"/>
      <c r="CP128" s="119"/>
      <c r="CQ128" s="119"/>
      <c r="CR128" s="119"/>
      <c r="CS128" s="119"/>
      <c r="CT128" s="119"/>
      <c r="CU128" s="119"/>
      <c r="CV128" s="119"/>
      <c r="CW128" s="119"/>
      <c r="CX128" s="119"/>
      <c r="CY128" s="119"/>
      <c r="CZ128" s="119"/>
      <c r="DA128" s="119"/>
      <c r="DB128" s="119"/>
      <c r="DC128" s="119"/>
      <c r="DD128" s="119"/>
      <c r="DE128" s="119"/>
      <c r="DF128" s="119"/>
      <c r="DG128" s="119"/>
      <c r="DH128" s="119"/>
      <c r="DI128" s="119"/>
      <c r="DJ128" s="119"/>
      <c r="DK128" s="119"/>
      <c r="DL128" s="119"/>
      <c r="DM128" s="119"/>
      <c r="DN128" s="119"/>
      <c r="DO128" s="119"/>
      <c r="DP128" s="119"/>
      <c r="DQ128" s="119"/>
      <c r="DR128" s="119"/>
      <c r="DS128" s="119"/>
      <c r="DT128" s="119"/>
      <c r="DU128" s="119"/>
      <c r="DV128" s="119"/>
      <c r="DW128" s="119"/>
      <c r="DX128" s="119"/>
      <c r="DY128" s="119"/>
      <c r="DZ128" s="119"/>
      <c r="EA128" s="119"/>
      <c r="EB128" s="119"/>
      <c r="EC128" s="119"/>
      <c r="ED128" s="119"/>
      <c r="EE128" s="119"/>
      <c r="EF128" s="119"/>
      <c r="EG128" s="119"/>
      <c r="EH128" s="119"/>
      <c r="EI128" s="119"/>
      <c r="EJ128" s="119"/>
      <c r="EK128" s="119"/>
      <c r="EL128" s="119"/>
      <c r="EM128" s="119"/>
      <c r="EN128" s="119"/>
      <c r="EO128" s="119"/>
      <c r="EP128" s="119"/>
      <c r="EQ128" s="119"/>
      <c r="ER128" s="119"/>
      <c r="ES128" s="119"/>
      <c r="ET128" s="119"/>
      <c r="EU128" s="119"/>
      <c r="EV128" s="119"/>
      <c r="EW128" s="119"/>
      <c r="EX128" s="119"/>
      <c r="EY128" s="119"/>
      <c r="EZ128" s="119"/>
      <c r="FA128" s="119"/>
      <c r="FB128" s="119"/>
      <c r="FC128" s="119"/>
      <c r="FD128" s="119"/>
      <c r="FE128" s="119"/>
      <c r="FF128" s="119"/>
      <c r="FG128" s="119"/>
      <c r="FH128" s="119"/>
      <c r="FI128" s="119"/>
      <c r="FJ128" s="119"/>
      <c r="FK128" s="119"/>
      <c r="FL128" s="119"/>
      <c r="FM128" s="119"/>
      <c r="FN128" s="119"/>
      <c r="FO128" s="119"/>
      <c r="FP128" s="119"/>
      <c r="FQ128" s="119"/>
      <c r="FR128" s="119"/>
      <c r="FS128" s="119"/>
      <c r="FT128" s="119"/>
      <c r="FU128" s="119"/>
      <c r="FV128" s="119"/>
      <c r="FW128" s="119"/>
      <c r="FX128" s="119"/>
      <c r="FY128" s="119"/>
      <c r="FZ128" s="119"/>
      <c r="GA128" s="119"/>
      <c r="GB128" s="119"/>
      <c r="GC128" s="119"/>
      <c r="GD128" s="119"/>
      <c r="GE128" s="119"/>
      <c r="GF128" s="119"/>
      <c r="GG128" s="119"/>
      <c r="GH128" s="119"/>
      <c r="GI128" s="119"/>
      <c r="GJ128" s="119"/>
      <c r="GK128" s="119"/>
      <c r="GL128" s="119"/>
      <c r="GM128" s="119"/>
      <c r="GN128" s="119"/>
      <c r="GO128" s="119"/>
      <c r="GP128" s="119"/>
      <c r="GQ128" s="119"/>
      <c r="GR128" s="119"/>
      <c r="GS128" s="119"/>
      <c r="GT128" s="119"/>
      <c r="GU128" s="119"/>
      <c r="GV128" s="119"/>
      <c r="GW128" s="119"/>
      <c r="GX128" s="119"/>
      <c r="GY128" s="119"/>
      <c r="GZ128" s="119"/>
      <c r="HA128" s="119"/>
      <c r="HB128" s="119"/>
      <c r="HC128" s="119"/>
      <c r="HD128" s="119"/>
      <c r="HE128" s="119"/>
      <c r="HF128" s="119"/>
      <c r="HG128" s="119"/>
      <c r="HH128" s="119"/>
      <c r="HI128" s="119"/>
      <c r="HJ128" s="119"/>
      <c r="HK128" s="119"/>
      <c r="HL128" s="119"/>
      <c r="HM128" s="119"/>
      <c r="HN128" s="119"/>
      <c r="HO128" s="119"/>
      <c r="HP128" s="119"/>
      <c r="HQ128" s="119"/>
      <c r="HR128" s="119"/>
      <c r="HS128" s="119"/>
      <c r="HT128" s="119"/>
      <c r="HU128" s="119"/>
      <c r="HV128" s="119"/>
      <c r="HW128" s="119"/>
      <c r="HX128" s="119"/>
      <c r="HY128" s="119"/>
      <c r="HZ128" s="119"/>
      <c r="IA128" s="119"/>
      <c r="IB128" s="119"/>
      <c r="IC128" s="119"/>
      <c r="ID128" s="119"/>
      <c r="IE128" s="119"/>
      <c r="IF128" s="119"/>
      <c r="IG128" s="119"/>
      <c r="IH128" s="119"/>
      <c r="II128" s="119"/>
      <c r="IJ128" s="119"/>
      <c r="IK128" s="119"/>
      <c r="IL128" s="119"/>
      <c r="IM128" s="119"/>
      <c r="IN128" s="119"/>
      <c r="IO128" s="119"/>
      <c r="IP128" s="119"/>
      <c r="IQ128" s="119"/>
      <c r="IR128" s="119"/>
      <c r="IS128" s="119"/>
      <c r="IT128" s="119"/>
      <c r="IU128" s="119"/>
      <c r="IV128" s="119"/>
      <c r="IW128" s="119"/>
    </row>
    <row r="129" spans="1:257" s="187" customFormat="1" ht="18" customHeight="1" x14ac:dyDescent="0.35">
      <c r="A129" s="195">
        <v>120</v>
      </c>
      <c r="B129" s="692"/>
      <c r="C129" s="548"/>
      <c r="D129" s="1268" t="s">
        <v>862</v>
      </c>
      <c r="E129" s="238"/>
      <c r="F129" s="238"/>
      <c r="G129" s="576"/>
      <c r="H129" s="240"/>
      <c r="I129" s="1270"/>
      <c r="J129" s="1270"/>
      <c r="K129" s="1270">
        <f t="shared" ref="K129" si="33">SUM(K127:K128)</f>
        <v>1700</v>
      </c>
      <c r="L129" s="1270"/>
      <c r="M129" s="1270">
        <f>SUM(M127:M128)</f>
        <v>108300</v>
      </c>
      <c r="N129" s="1271"/>
      <c r="O129" s="576"/>
      <c r="P129" s="1275">
        <f t="shared" si="32"/>
        <v>110000</v>
      </c>
      <c r="Q129" s="1246"/>
      <c r="R129" s="119"/>
      <c r="S129" s="119"/>
      <c r="T129" s="119"/>
      <c r="U129" s="119"/>
      <c r="V129" s="119"/>
      <c r="W129" s="119"/>
      <c r="X129" s="119"/>
      <c r="Y129" s="119"/>
      <c r="Z129" s="119"/>
      <c r="AA129" s="119"/>
      <c r="AB129" s="119"/>
      <c r="AC129" s="119"/>
      <c r="AD129" s="119"/>
      <c r="AE129" s="119"/>
      <c r="AF129" s="119"/>
      <c r="AG129" s="119"/>
      <c r="AH129" s="119"/>
      <c r="AI129" s="119"/>
      <c r="AJ129" s="119"/>
      <c r="AK129" s="119"/>
      <c r="AL129" s="119"/>
      <c r="AM129" s="119"/>
      <c r="AN129" s="119"/>
      <c r="AO129" s="119"/>
      <c r="AP129" s="119"/>
      <c r="AQ129" s="119"/>
      <c r="AR129" s="119"/>
      <c r="AS129" s="119"/>
      <c r="AT129" s="119"/>
      <c r="AU129" s="119"/>
      <c r="AV129" s="119"/>
      <c r="AW129" s="119"/>
      <c r="AX129" s="119"/>
      <c r="AY129" s="119"/>
      <c r="AZ129" s="119"/>
      <c r="BA129" s="119"/>
      <c r="BB129" s="119"/>
      <c r="BC129" s="119"/>
      <c r="BD129" s="119"/>
      <c r="BE129" s="119"/>
      <c r="BF129" s="119"/>
      <c r="BG129" s="119"/>
      <c r="BH129" s="119"/>
      <c r="BI129" s="119"/>
      <c r="BJ129" s="119"/>
      <c r="BK129" s="119"/>
      <c r="BL129" s="119"/>
      <c r="BM129" s="119"/>
      <c r="BN129" s="119"/>
      <c r="BO129" s="119"/>
      <c r="BP129" s="119"/>
      <c r="BQ129" s="119"/>
      <c r="BR129" s="119"/>
      <c r="BS129" s="119"/>
      <c r="BT129" s="119"/>
      <c r="BU129" s="119"/>
      <c r="BV129" s="119"/>
      <c r="BW129" s="119"/>
      <c r="BX129" s="119"/>
      <c r="BY129" s="119"/>
      <c r="BZ129" s="119"/>
      <c r="CA129" s="119"/>
      <c r="CB129" s="119"/>
      <c r="CC129" s="119"/>
      <c r="CD129" s="119"/>
      <c r="CE129" s="119"/>
      <c r="CF129" s="119"/>
      <c r="CG129" s="119"/>
      <c r="CH129" s="119"/>
      <c r="CI129" s="119"/>
      <c r="CJ129" s="119"/>
      <c r="CK129" s="119"/>
      <c r="CL129" s="119"/>
      <c r="CM129" s="119"/>
      <c r="CN129" s="119"/>
      <c r="CO129" s="119"/>
      <c r="CP129" s="119"/>
      <c r="CQ129" s="119"/>
      <c r="CR129" s="119"/>
      <c r="CS129" s="119"/>
      <c r="CT129" s="119"/>
      <c r="CU129" s="119"/>
      <c r="CV129" s="119"/>
      <c r="CW129" s="119"/>
      <c r="CX129" s="119"/>
      <c r="CY129" s="119"/>
      <c r="CZ129" s="119"/>
      <c r="DA129" s="119"/>
      <c r="DB129" s="119"/>
      <c r="DC129" s="119"/>
      <c r="DD129" s="119"/>
      <c r="DE129" s="119"/>
      <c r="DF129" s="119"/>
      <c r="DG129" s="119"/>
      <c r="DH129" s="119"/>
      <c r="DI129" s="119"/>
      <c r="DJ129" s="119"/>
      <c r="DK129" s="119"/>
      <c r="DL129" s="119"/>
      <c r="DM129" s="119"/>
      <c r="DN129" s="119"/>
      <c r="DO129" s="119"/>
      <c r="DP129" s="119"/>
      <c r="DQ129" s="119"/>
      <c r="DR129" s="119"/>
      <c r="DS129" s="119"/>
      <c r="DT129" s="119"/>
      <c r="DU129" s="119"/>
      <c r="DV129" s="119"/>
      <c r="DW129" s="119"/>
      <c r="DX129" s="119"/>
      <c r="DY129" s="119"/>
      <c r="DZ129" s="119"/>
      <c r="EA129" s="119"/>
      <c r="EB129" s="119"/>
      <c r="EC129" s="119"/>
      <c r="ED129" s="119"/>
      <c r="EE129" s="119"/>
      <c r="EF129" s="119"/>
      <c r="EG129" s="119"/>
      <c r="EH129" s="119"/>
      <c r="EI129" s="119"/>
      <c r="EJ129" s="119"/>
      <c r="EK129" s="119"/>
      <c r="EL129" s="119"/>
      <c r="EM129" s="119"/>
      <c r="EN129" s="119"/>
      <c r="EO129" s="119"/>
      <c r="EP129" s="119"/>
      <c r="EQ129" s="119"/>
      <c r="ER129" s="119"/>
      <c r="ES129" s="119"/>
      <c r="ET129" s="119"/>
      <c r="EU129" s="119"/>
      <c r="EV129" s="119"/>
      <c r="EW129" s="119"/>
      <c r="EX129" s="119"/>
      <c r="EY129" s="119"/>
      <c r="EZ129" s="119"/>
      <c r="FA129" s="119"/>
      <c r="FB129" s="119"/>
      <c r="FC129" s="119"/>
      <c r="FD129" s="119"/>
      <c r="FE129" s="119"/>
      <c r="FF129" s="119"/>
      <c r="FG129" s="119"/>
      <c r="FH129" s="119"/>
      <c r="FI129" s="119"/>
      <c r="FJ129" s="119"/>
      <c r="FK129" s="119"/>
      <c r="FL129" s="119"/>
      <c r="FM129" s="119"/>
      <c r="FN129" s="119"/>
      <c r="FO129" s="119"/>
      <c r="FP129" s="119"/>
      <c r="FQ129" s="119"/>
      <c r="FR129" s="119"/>
      <c r="FS129" s="119"/>
      <c r="FT129" s="119"/>
      <c r="FU129" s="119"/>
      <c r="FV129" s="119"/>
      <c r="FW129" s="119"/>
      <c r="FX129" s="119"/>
      <c r="FY129" s="119"/>
      <c r="FZ129" s="119"/>
      <c r="GA129" s="119"/>
      <c r="GB129" s="119"/>
      <c r="GC129" s="119"/>
      <c r="GD129" s="119"/>
      <c r="GE129" s="119"/>
      <c r="GF129" s="119"/>
      <c r="GG129" s="119"/>
      <c r="GH129" s="119"/>
      <c r="GI129" s="119"/>
      <c r="GJ129" s="119"/>
      <c r="GK129" s="119"/>
      <c r="GL129" s="119"/>
      <c r="GM129" s="119"/>
      <c r="GN129" s="119"/>
      <c r="GO129" s="119"/>
      <c r="GP129" s="119"/>
      <c r="GQ129" s="119"/>
      <c r="GR129" s="119"/>
      <c r="GS129" s="119"/>
      <c r="GT129" s="119"/>
      <c r="GU129" s="119"/>
      <c r="GV129" s="119"/>
      <c r="GW129" s="119"/>
      <c r="GX129" s="119"/>
      <c r="GY129" s="119"/>
      <c r="GZ129" s="119"/>
      <c r="HA129" s="119"/>
      <c r="HB129" s="119"/>
      <c r="HC129" s="119"/>
      <c r="HD129" s="119"/>
      <c r="HE129" s="119"/>
      <c r="HF129" s="119"/>
      <c r="HG129" s="119"/>
      <c r="HH129" s="119"/>
      <c r="HI129" s="119"/>
      <c r="HJ129" s="119"/>
      <c r="HK129" s="119"/>
      <c r="HL129" s="119"/>
      <c r="HM129" s="119"/>
      <c r="HN129" s="119"/>
      <c r="HO129" s="119"/>
      <c r="HP129" s="119"/>
      <c r="HQ129" s="119"/>
      <c r="HR129" s="119"/>
      <c r="HS129" s="119"/>
      <c r="HT129" s="119"/>
      <c r="HU129" s="119"/>
      <c r="HV129" s="119"/>
      <c r="HW129" s="119"/>
      <c r="HX129" s="119"/>
      <c r="HY129" s="119"/>
      <c r="HZ129" s="119"/>
      <c r="IA129" s="119"/>
      <c r="IB129" s="119"/>
      <c r="IC129" s="119"/>
      <c r="ID129" s="119"/>
      <c r="IE129" s="119"/>
      <c r="IF129" s="119"/>
      <c r="IG129" s="119"/>
      <c r="IH129" s="119"/>
      <c r="II129" s="119"/>
      <c r="IJ129" s="119"/>
      <c r="IK129" s="119"/>
      <c r="IL129" s="119"/>
      <c r="IM129" s="119"/>
      <c r="IN129" s="119"/>
      <c r="IO129" s="119"/>
      <c r="IP129" s="119"/>
      <c r="IQ129" s="119"/>
      <c r="IR129" s="119"/>
      <c r="IS129" s="119"/>
      <c r="IT129" s="119"/>
      <c r="IU129" s="119"/>
      <c r="IV129" s="119"/>
      <c r="IW129" s="119"/>
    </row>
    <row r="130" spans="1:257" s="187" customFormat="1" ht="37.5" customHeight="1" x14ac:dyDescent="0.35">
      <c r="A130" s="195">
        <v>121</v>
      </c>
      <c r="B130" s="692"/>
      <c r="C130" s="120">
        <v>42</v>
      </c>
      <c r="D130" s="1493" t="s">
        <v>1014</v>
      </c>
      <c r="E130" s="127">
        <f>F130+G130+P133</f>
        <v>47000</v>
      </c>
      <c r="F130" s="127"/>
      <c r="G130" s="693"/>
      <c r="H130" s="224" t="s">
        <v>24</v>
      </c>
      <c r="I130" s="559"/>
      <c r="J130" s="559"/>
      <c r="K130" s="559"/>
      <c r="L130" s="559"/>
      <c r="M130" s="559"/>
      <c r="N130" s="1284"/>
      <c r="O130" s="693"/>
      <c r="P130" s="1272"/>
      <c r="Q130" s="694"/>
      <c r="R130" s="119"/>
      <c r="S130" s="119"/>
      <c r="T130" s="119"/>
      <c r="U130" s="119"/>
      <c r="V130" s="119"/>
      <c r="W130" s="119"/>
      <c r="X130" s="119"/>
      <c r="Y130" s="119"/>
      <c r="Z130" s="119"/>
      <c r="AA130" s="119"/>
      <c r="AB130" s="119"/>
      <c r="AC130" s="119"/>
      <c r="AD130" s="119"/>
      <c r="AE130" s="119"/>
      <c r="AF130" s="119"/>
      <c r="AG130" s="119"/>
      <c r="AH130" s="119"/>
      <c r="AI130" s="119"/>
      <c r="AJ130" s="119"/>
      <c r="AK130" s="119"/>
      <c r="AL130" s="119"/>
      <c r="AM130" s="119"/>
      <c r="AN130" s="119"/>
      <c r="AO130" s="119"/>
      <c r="AP130" s="119"/>
      <c r="AQ130" s="119"/>
      <c r="AR130" s="119"/>
      <c r="AS130" s="119"/>
      <c r="AT130" s="119"/>
      <c r="AU130" s="119"/>
      <c r="AV130" s="119"/>
      <c r="AW130" s="119"/>
      <c r="AX130" s="119"/>
      <c r="AY130" s="119"/>
      <c r="AZ130" s="119"/>
      <c r="BA130" s="119"/>
      <c r="BB130" s="119"/>
      <c r="BC130" s="119"/>
      <c r="BD130" s="119"/>
      <c r="BE130" s="119"/>
      <c r="BF130" s="119"/>
      <c r="BG130" s="119"/>
      <c r="BH130" s="119"/>
      <c r="BI130" s="119"/>
      <c r="BJ130" s="119"/>
      <c r="BK130" s="119"/>
      <c r="BL130" s="119"/>
      <c r="BM130" s="119"/>
      <c r="BN130" s="119"/>
      <c r="BO130" s="119"/>
      <c r="BP130" s="119"/>
      <c r="BQ130" s="119"/>
      <c r="BR130" s="119"/>
      <c r="BS130" s="119"/>
      <c r="BT130" s="119"/>
      <c r="BU130" s="119"/>
      <c r="BV130" s="119"/>
      <c r="BW130" s="119"/>
      <c r="BX130" s="119"/>
      <c r="BY130" s="119"/>
      <c r="BZ130" s="119"/>
      <c r="CA130" s="119"/>
      <c r="CB130" s="119"/>
      <c r="CC130" s="119"/>
      <c r="CD130" s="119"/>
      <c r="CE130" s="119"/>
      <c r="CF130" s="119"/>
      <c r="CG130" s="119"/>
      <c r="CH130" s="119"/>
      <c r="CI130" s="119"/>
      <c r="CJ130" s="119"/>
      <c r="CK130" s="119"/>
      <c r="CL130" s="119"/>
      <c r="CM130" s="119"/>
      <c r="CN130" s="119"/>
      <c r="CO130" s="119"/>
      <c r="CP130" s="119"/>
      <c r="CQ130" s="119"/>
      <c r="CR130" s="119"/>
      <c r="CS130" s="119"/>
      <c r="CT130" s="119"/>
      <c r="CU130" s="119"/>
      <c r="CV130" s="119"/>
      <c r="CW130" s="119"/>
      <c r="CX130" s="119"/>
      <c r="CY130" s="119"/>
      <c r="CZ130" s="119"/>
      <c r="DA130" s="119"/>
      <c r="DB130" s="119"/>
      <c r="DC130" s="119"/>
      <c r="DD130" s="119"/>
      <c r="DE130" s="119"/>
      <c r="DF130" s="119"/>
      <c r="DG130" s="119"/>
      <c r="DH130" s="119"/>
      <c r="DI130" s="119"/>
      <c r="DJ130" s="119"/>
      <c r="DK130" s="119"/>
      <c r="DL130" s="119"/>
      <c r="DM130" s="119"/>
      <c r="DN130" s="119"/>
      <c r="DO130" s="119"/>
      <c r="DP130" s="119"/>
      <c r="DQ130" s="119"/>
      <c r="DR130" s="119"/>
      <c r="DS130" s="119"/>
      <c r="DT130" s="119"/>
      <c r="DU130" s="119"/>
      <c r="DV130" s="119"/>
      <c r="DW130" s="119"/>
      <c r="DX130" s="119"/>
      <c r="DY130" s="119"/>
      <c r="DZ130" s="119"/>
      <c r="EA130" s="119"/>
      <c r="EB130" s="119"/>
      <c r="EC130" s="119"/>
      <c r="ED130" s="119"/>
      <c r="EE130" s="119"/>
      <c r="EF130" s="119"/>
      <c r="EG130" s="119"/>
      <c r="EH130" s="119"/>
      <c r="EI130" s="119"/>
      <c r="EJ130" s="119"/>
      <c r="EK130" s="119"/>
      <c r="EL130" s="119"/>
      <c r="EM130" s="119"/>
      <c r="EN130" s="119"/>
      <c r="EO130" s="119"/>
      <c r="EP130" s="119"/>
      <c r="EQ130" s="119"/>
      <c r="ER130" s="119"/>
      <c r="ES130" s="119"/>
      <c r="ET130" s="119"/>
      <c r="EU130" s="119"/>
      <c r="EV130" s="119"/>
      <c r="EW130" s="119"/>
      <c r="EX130" s="119"/>
      <c r="EY130" s="119"/>
      <c r="EZ130" s="119"/>
      <c r="FA130" s="119"/>
      <c r="FB130" s="119"/>
      <c r="FC130" s="119"/>
      <c r="FD130" s="119"/>
      <c r="FE130" s="119"/>
      <c r="FF130" s="119"/>
      <c r="FG130" s="119"/>
      <c r="FH130" s="119"/>
      <c r="FI130" s="119"/>
      <c r="FJ130" s="119"/>
      <c r="FK130" s="119"/>
      <c r="FL130" s="119"/>
      <c r="FM130" s="119"/>
      <c r="FN130" s="119"/>
      <c r="FO130" s="119"/>
      <c r="FP130" s="119"/>
      <c r="FQ130" s="119"/>
      <c r="FR130" s="119"/>
      <c r="FS130" s="119"/>
      <c r="FT130" s="119"/>
      <c r="FU130" s="119"/>
      <c r="FV130" s="119"/>
      <c r="FW130" s="119"/>
      <c r="FX130" s="119"/>
      <c r="FY130" s="119"/>
      <c r="FZ130" s="119"/>
      <c r="GA130" s="119"/>
      <c r="GB130" s="119"/>
      <c r="GC130" s="119"/>
      <c r="GD130" s="119"/>
      <c r="GE130" s="119"/>
      <c r="GF130" s="119"/>
      <c r="GG130" s="119"/>
      <c r="GH130" s="119"/>
      <c r="GI130" s="119"/>
      <c r="GJ130" s="119"/>
      <c r="GK130" s="119"/>
      <c r="GL130" s="119"/>
      <c r="GM130" s="119"/>
      <c r="GN130" s="119"/>
      <c r="GO130" s="119"/>
      <c r="GP130" s="119"/>
      <c r="GQ130" s="119"/>
      <c r="GR130" s="119"/>
      <c r="GS130" s="119"/>
      <c r="GT130" s="119"/>
      <c r="GU130" s="119"/>
      <c r="GV130" s="119"/>
      <c r="GW130" s="119"/>
      <c r="GX130" s="119"/>
      <c r="GY130" s="119"/>
      <c r="GZ130" s="119"/>
      <c r="HA130" s="119"/>
      <c r="HB130" s="119"/>
      <c r="HC130" s="119"/>
      <c r="HD130" s="119"/>
      <c r="HE130" s="119"/>
      <c r="HF130" s="119"/>
      <c r="HG130" s="119"/>
      <c r="HH130" s="119"/>
      <c r="HI130" s="119"/>
      <c r="HJ130" s="119"/>
      <c r="HK130" s="119"/>
      <c r="HL130" s="119"/>
      <c r="HM130" s="119"/>
      <c r="HN130" s="119"/>
      <c r="HO130" s="119"/>
      <c r="HP130" s="119"/>
      <c r="HQ130" s="119"/>
      <c r="HR130" s="119"/>
      <c r="HS130" s="119"/>
      <c r="HT130" s="119"/>
      <c r="HU130" s="119"/>
      <c r="HV130" s="119"/>
      <c r="HW130" s="119"/>
      <c r="HX130" s="119"/>
      <c r="HY130" s="119"/>
      <c r="HZ130" s="119"/>
      <c r="IA130" s="119"/>
      <c r="IB130" s="119"/>
      <c r="IC130" s="119"/>
      <c r="ID130" s="119"/>
      <c r="IE130" s="119"/>
      <c r="IF130" s="119"/>
      <c r="IG130" s="119"/>
      <c r="IH130" s="119"/>
      <c r="II130" s="119"/>
      <c r="IJ130" s="119"/>
      <c r="IK130" s="119"/>
      <c r="IL130" s="119"/>
      <c r="IM130" s="119"/>
      <c r="IN130" s="119"/>
      <c r="IO130" s="119"/>
      <c r="IP130" s="119"/>
      <c r="IQ130" s="119"/>
      <c r="IR130" s="119"/>
      <c r="IS130" s="119"/>
      <c r="IT130" s="119"/>
      <c r="IU130" s="119"/>
      <c r="IV130" s="119"/>
      <c r="IW130" s="119"/>
    </row>
    <row r="131" spans="1:257" s="187" customFormat="1" ht="18" customHeight="1" x14ac:dyDescent="0.35">
      <c r="A131" s="195">
        <v>122</v>
      </c>
      <c r="B131" s="692"/>
      <c r="C131" s="120"/>
      <c r="D131" s="1266" t="s">
        <v>808</v>
      </c>
      <c r="E131" s="127"/>
      <c r="F131" s="127"/>
      <c r="G131" s="693"/>
      <c r="H131" s="224"/>
      <c r="I131" s="559"/>
      <c r="J131" s="559"/>
      <c r="K131" s="559"/>
      <c r="L131" s="559"/>
      <c r="M131" s="559">
        <v>47000</v>
      </c>
      <c r="N131" s="1284"/>
      <c r="O131" s="576"/>
      <c r="P131" s="1275">
        <f>SUM(I131:N131)</f>
        <v>47000</v>
      </c>
      <c r="Q131" s="694"/>
      <c r="R131" s="119"/>
      <c r="S131" s="119"/>
      <c r="T131" s="119"/>
      <c r="U131" s="119"/>
      <c r="V131" s="119"/>
      <c r="W131" s="119"/>
      <c r="X131" s="119"/>
      <c r="Y131" s="119"/>
      <c r="Z131" s="119"/>
      <c r="AA131" s="119"/>
      <c r="AB131" s="119"/>
      <c r="AC131" s="119"/>
      <c r="AD131" s="119"/>
      <c r="AE131" s="119"/>
      <c r="AF131" s="119"/>
      <c r="AG131" s="119"/>
      <c r="AH131" s="119"/>
      <c r="AI131" s="119"/>
      <c r="AJ131" s="119"/>
      <c r="AK131" s="119"/>
      <c r="AL131" s="119"/>
      <c r="AM131" s="119"/>
      <c r="AN131" s="119"/>
      <c r="AO131" s="119"/>
      <c r="AP131" s="119"/>
      <c r="AQ131" s="119"/>
      <c r="AR131" s="119"/>
      <c r="AS131" s="119"/>
      <c r="AT131" s="119"/>
      <c r="AU131" s="119"/>
      <c r="AV131" s="119"/>
      <c r="AW131" s="119"/>
      <c r="AX131" s="119"/>
      <c r="AY131" s="119"/>
      <c r="AZ131" s="119"/>
      <c r="BA131" s="119"/>
      <c r="BB131" s="119"/>
      <c r="BC131" s="119"/>
      <c r="BD131" s="119"/>
      <c r="BE131" s="119"/>
      <c r="BF131" s="119"/>
      <c r="BG131" s="119"/>
      <c r="BH131" s="119"/>
      <c r="BI131" s="119"/>
      <c r="BJ131" s="119"/>
      <c r="BK131" s="119"/>
      <c r="BL131" s="119"/>
      <c r="BM131" s="119"/>
      <c r="BN131" s="119"/>
      <c r="BO131" s="119"/>
      <c r="BP131" s="119"/>
      <c r="BQ131" s="119"/>
      <c r="BR131" s="119"/>
      <c r="BS131" s="119"/>
      <c r="BT131" s="119"/>
      <c r="BU131" s="119"/>
      <c r="BV131" s="119"/>
      <c r="BW131" s="119"/>
      <c r="BX131" s="119"/>
      <c r="BY131" s="119"/>
      <c r="BZ131" s="119"/>
      <c r="CA131" s="119"/>
      <c r="CB131" s="119"/>
      <c r="CC131" s="119"/>
      <c r="CD131" s="119"/>
      <c r="CE131" s="119"/>
      <c r="CF131" s="119"/>
      <c r="CG131" s="119"/>
      <c r="CH131" s="119"/>
      <c r="CI131" s="119"/>
      <c r="CJ131" s="119"/>
      <c r="CK131" s="119"/>
      <c r="CL131" s="119"/>
      <c r="CM131" s="119"/>
      <c r="CN131" s="119"/>
      <c r="CO131" s="119"/>
      <c r="CP131" s="119"/>
      <c r="CQ131" s="119"/>
      <c r="CR131" s="119"/>
      <c r="CS131" s="119"/>
      <c r="CT131" s="119"/>
      <c r="CU131" s="119"/>
      <c r="CV131" s="119"/>
      <c r="CW131" s="119"/>
      <c r="CX131" s="119"/>
      <c r="CY131" s="119"/>
      <c r="CZ131" s="119"/>
      <c r="DA131" s="119"/>
      <c r="DB131" s="119"/>
      <c r="DC131" s="119"/>
      <c r="DD131" s="119"/>
      <c r="DE131" s="119"/>
      <c r="DF131" s="119"/>
      <c r="DG131" s="119"/>
      <c r="DH131" s="119"/>
      <c r="DI131" s="119"/>
      <c r="DJ131" s="119"/>
      <c r="DK131" s="119"/>
      <c r="DL131" s="119"/>
      <c r="DM131" s="119"/>
      <c r="DN131" s="119"/>
      <c r="DO131" s="119"/>
      <c r="DP131" s="119"/>
      <c r="DQ131" s="119"/>
      <c r="DR131" s="119"/>
      <c r="DS131" s="119"/>
      <c r="DT131" s="119"/>
      <c r="DU131" s="119"/>
      <c r="DV131" s="119"/>
      <c r="DW131" s="119"/>
      <c r="DX131" s="119"/>
      <c r="DY131" s="119"/>
      <c r="DZ131" s="119"/>
      <c r="EA131" s="119"/>
      <c r="EB131" s="119"/>
      <c r="EC131" s="119"/>
      <c r="ED131" s="119"/>
      <c r="EE131" s="119"/>
      <c r="EF131" s="119"/>
      <c r="EG131" s="119"/>
      <c r="EH131" s="119"/>
      <c r="EI131" s="119"/>
      <c r="EJ131" s="119"/>
      <c r="EK131" s="119"/>
      <c r="EL131" s="119"/>
      <c r="EM131" s="119"/>
      <c r="EN131" s="119"/>
      <c r="EO131" s="119"/>
      <c r="EP131" s="119"/>
      <c r="EQ131" s="119"/>
      <c r="ER131" s="119"/>
      <c r="ES131" s="119"/>
      <c r="ET131" s="119"/>
      <c r="EU131" s="119"/>
      <c r="EV131" s="119"/>
      <c r="EW131" s="119"/>
      <c r="EX131" s="119"/>
      <c r="EY131" s="119"/>
      <c r="EZ131" s="119"/>
      <c r="FA131" s="119"/>
      <c r="FB131" s="119"/>
      <c r="FC131" s="119"/>
      <c r="FD131" s="119"/>
      <c r="FE131" s="119"/>
      <c r="FF131" s="119"/>
      <c r="FG131" s="119"/>
      <c r="FH131" s="119"/>
      <c r="FI131" s="119"/>
      <c r="FJ131" s="119"/>
      <c r="FK131" s="119"/>
      <c r="FL131" s="119"/>
      <c r="FM131" s="119"/>
      <c r="FN131" s="119"/>
      <c r="FO131" s="119"/>
      <c r="FP131" s="119"/>
      <c r="FQ131" s="119"/>
      <c r="FR131" s="119"/>
      <c r="FS131" s="119"/>
      <c r="FT131" s="119"/>
      <c r="FU131" s="119"/>
      <c r="FV131" s="119"/>
      <c r="FW131" s="119"/>
      <c r="FX131" s="119"/>
      <c r="FY131" s="119"/>
      <c r="FZ131" s="119"/>
      <c r="GA131" s="119"/>
      <c r="GB131" s="119"/>
      <c r="GC131" s="119"/>
      <c r="GD131" s="119"/>
      <c r="GE131" s="119"/>
      <c r="GF131" s="119"/>
      <c r="GG131" s="119"/>
      <c r="GH131" s="119"/>
      <c r="GI131" s="119"/>
      <c r="GJ131" s="119"/>
      <c r="GK131" s="119"/>
      <c r="GL131" s="119"/>
      <c r="GM131" s="119"/>
      <c r="GN131" s="119"/>
      <c r="GO131" s="119"/>
      <c r="GP131" s="119"/>
      <c r="GQ131" s="119"/>
      <c r="GR131" s="119"/>
      <c r="GS131" s="119"/>
      <c r="GT131" s="119"/>
      <c r="GU131" s="119"/>
      <c r="GV131" s="119"/>
      <c r="GW131" s="119"/>
      <c r="GX131" s="119"/>
      <c r="GY131" s="119"/>
      <c r="GZ131" s="119"/>
      <c r="HA131" s="119"/>
      <c r="HB131" s="119"/>
      <c r="HC131" s="119"/>
      <c r="HD131" s="119"/>
      <c r="HE131" s="119"/>
      <c r="HF131" s="119"/>
      <c r="HG131" s="119"/>
      <c r="HH131" s="119"/>
      <c r="HI131" s="119"/>
      <c r="HJ131" s="119"/>
      <c r="HK131" s="119"/>
      <c r="HL131" s="119"/>
      <c r="HM131" s="119"/>
      <c r="HN131" s="119"/>
      <c r="HO131" s="119"/>
      <c r="HP131" s="119"/>
      <c r="HQ131" s="119"/>
      <c r="HR131" s="119"/>
      <c r="HS131" s="119"/>
      <c r="HT131" s="119"/>
      <c r="HU131" s="119"/>
      <c r="HV131" s="119"/>
      <c r="HW131" s="119"/>
      <c r="HX131" s="119"/>
      <c r="HY131" s="119"/>
      <c r="HZ131" s="119"/>
      <c r="IA131" s="119"/>
      <c r="IB131" s="119"/>
      <c r="IC131" s="119"/>
      <c r="ID131" s="119"/>
      <c r="IE131" s="119"/>
      <c r="IF131" s="119"/>
      <c r="IG131" s="119"/>
      <c r="IH131" s="119"/>
      <c r="II131" s="119"/>
      <c r="IJ131" s="119"/>
      <c r="IK131" s="119"/>
      <c r="IL131" s="119"/>
      <c r="IM131" s="119"/>
      <c r="IN131" s="119"/>
      <c r="IO131" s="119"/>
      <c r="IP131" s="119"/>
      <c r="IQ131" s="119"/>
      <c r="IR131" s="119"/>
      <c r="IS131" s="119"/>
      <c r="IT131" s="119"/>
      <c r="IU131" s="119"/>
      <c r="IV131" s="119"/>
      <c r="IW131" s="119"/>
    </row>
    <row r="132" spans="1:257" s="187" customFormat="1" ht="18" customHeight="1" x14ac:dyDescent="0.35">
      <c r="A132" s="195">
        <v>123</v>
      </c>
      <c r="B132" s="692"/>
      <c r="C132" s="120"/>
      <c r="D132" s="1265" t="s">
        <v>656</v>
      </c>
      <c r="E132" s="127"/>
      <c r="F132" s="127"/>
      <c r="G132" s="693"/>
      <c r="H132" s="224"/>
      <c r="I132" s="559"/>
      <c r="J132" s="559"/>
      <c r="K132" s="1282"/>
      <c r="L132" s="559"/>
      <c r="M132" s="1282">
        <v>-47000</v>
      </c>
      <c r="N132" s="1284"/>
      <c r="O132" s="1781">
        <v>47000</v>
      </c>
      <c r="P132" s="1276">
        <f>SUM(I132:O132)</f>
        <v>0</v>
      </c>
      <c r="Q132" s="694"/>
      <c r="R132" s="119"/>
      <c r="S132" s="119"/>
      <c r="T132" s="119"/>
      <c r="U132" s="119"/>
      <c r="V132" s="119"/>
      <c r="W132" s="119"/>
      <c r="X132" s="119"/>
      <c r="Y132" s="119"/>
      <c r="Z132" s="119"/>
      <c r="AA132" s="119"/>
      <c r="AB132" s="119"/>
      <c r="AC132" s="119"/>
      <c r="AD132" s="119"/>
      <c r="AE132" s="119"/>
      <c r="AF132" s="119"/>
      <c r="AG132" s="119"/>
      <c r="AH132" s="119"/>
      <c r="AI132" s="119"/>
      <c r="AJ132" s="119"/>
      <c r="AK132" s="119"/>
      <c r="AL132" s="119"/>
      <c r="AM132" s="119"/>
      <c r="AN132" s="119"/>
      <c r="AO132" s="119"/>
      <c r="AP132" s="119"/>
      <c r="AQ132" s="119"/>
      <c r="AR132" s="119"/>
      <c r="AS132" s="119"/>
      <c r="AT132" s="119"/>
      <c r="AU132" s="119"/>
      <c r="AV132" s="119"/>
      <c r="AW132" s="119"/>
      <c r="AX132" s="119"/>
      <c r="AY132" s="119"/>
      <c r="AZ132" s="119"/>
      <c r="BA132" s="119"/>
      <c r="BB132" s="119"/>
      <c r="BC132" s="119"/>
      <c r="BD132" s="119"/>
      <c r="BE132" s="119"/>
      <c r="BF132" s="119"/>
      <c r="BG132" s="119"/>
      <c r="BH132" s="119"/>
      <c r="BI132" s="119"/>
      <c r="BJ132" s="119"/>
      <c r="BK132" s="119"/>
      <c r="BL132" s="119"/>
      <c r="BM132" s="119"/>
      <c r="BN132" s="119"/>
      <c r="BO132" s="119"/>
      <c r="BP132" s="119"/>
      <c r="BQ132" s="119"/>
      <c r="BR132" s="119"/>
      <c r="BS132" s="119"/>
      <c r="BT132" s="119"/>
      <c r="BU132" s="119"/>
      <c r="BV132" s="119"/>
      <c r="BW132" s="119"/>
      <c r="BX132" s="119"/>
      <c r="BY132" s="119"/>
      <c r="BZ132" s="119"/>
      <c r="CA132" s="119"/>
      <c r="CB132" s="119"/>
      <c r="CC132" s="119"/>
      <c r="CD132" s="119"/>
      <c r="CE132" s="119"/>
      <c r="CF132" s="119"/>
      <c r="CG132" s="119"/>
      <c r="CH132" s="119"/>
      <c r="CI132" s="119"/>
      <c r="CJ132" s="119"/>
      <c r="CK132" s="119"/>
      <c r="CL132" s="119"/>
      <c r="CM132" s="119"/>
      <c r="CN132" s="119"/>
      <c r="CO132" s="119"/>
      <c r="CP132" s="119"/>
      <c r="CQ132" s="119"/>
      <c r="CR132" s="119"/>
      <c r="CS132" s="119"/>
      <c r="CT132" s="119"/>
      <c r="CU132" s="119"/>
      <c r="CV132" s="119"/>
      <c r="CW132" s="119"/>
      <c r="CX132" s="119"/>
      <c r="CY132" s="119"/>
      <c r="CZ132" s="119"/>
      <c r="DA132" s="119"/>
      <c r="DB132" s="119"/>
      <c r="DC132" s="119"/>
      <c r="DD132" s="119"/>
      <c r="DE132" s="119"/>
      <c r="DF132" s="119"/>
      <c r="DG132" s="119"/>
      <c r="DH132" s="119"/>
      <c r="DI132" s="119"/>
      <c r="DJ132" s="119"/>
      <c r="DK132" s="119"/>
      <c r="DL132" s="119"/>
      <c r="DM132" s="119"/>
      <c r="DN132" s="119"/>
      <c r="DO132" s="119"/>
      <c r="DP132" s="119"/>
      <c r="DQ132" s="119"/>
      <c r="DR132" s="119"/>
      <c r="DS132" s="119"/>
      <c r="DT132" s="119"/>
      <c r="DU132" s="119"/>
      <c r="DV132" s="119"/>
      <c r="DW132" s="119"/>
      <c r="DX132" s="119"/>
      <c r="DY132" s="119"/>
      <c r="DZ132" s="119"/>
      <c r="EA132" s="119"/>
      <c r="EB132" s="119"/>
      <c r="EC132" s="119"/>
      <c r="ED132" s="119"/>
      <c r="EE132" s="119"/>
      <c r="EF132" s="119"/>
      <c r="EG132" s="119"/>
      <c r="EH132" s="119"/>
      <c r="EI132" s="119"/>
      <c r="EJ132" s="119"/>
      <c r="EK132" s="119"/>
      <c r="EL132" s="119"/>
      <c r="EM132" s="119"/>
      <c r="EN132" s="119"/>
      <c r="EO132" s="119"/>
      <c r="EP132" s="119"/>
      <c r="EQ132" s="119"/>
      <c r="ER132" s="119"/>
      <c r="ES132" s="119"/>
      <c r="ET132" s="119"/>
      <c r="EU132" s="119"/>
      <c r="EV132" s="119"/>
      <c r="EW132" s="119"/>
      <c r="EX132" s="119"/>
      <c r="EY132" s="119"/>
      <c r="EZ132" s="119"/>
      <c r="FA132" s="119"/>
      <c r="FB132" s="119"/>
      <c r="FC132" s="119"/>
      <c r="FD132" s="119"/>
      <c r="FE132" s="119"/>
      <c r="FF132" s="119"/>
      <c r="FG132" s="119"/>
      <c r="FH132" s="119"/>
      <c r="FI132" s="119"/>
      <c r="FJ132" s="119"/>
      <c r="FK132" s="119"/>
      <c r="FL132" s="119"/>
      <c r="FM132" s="119"/>
      <c r="FN132" s="119"/>
      <c r="FO132" s="119"/>
      <c r="FP132" s="119"/>
      <c r="FQ132" s="119"/>
      <c r="FR132" s="119"/>
      <c r="FS132" s="119"/>
      <c r="FT132" s="119"/>
      <c r="FU132" s="119"/>
      <c r="FV132" s="119"/>
      <c r="FW132" s="119"/>
      <c r="FX132" s="119"/>
      <c r="FY132" s="119"/>
      <c r="FZ132" s="119"/>
      <c r="GA132" s="119"/>
      <c r="GB132" s="119"/>
      <c r="GC132" s="119"/>
      <c r="GD132" s="119"/>
      <c r="GE132" s="119"/>
      <c r="GF132" s="119"/>
      <c r="GG132" s="119"/>
      <c r="GH132" s="119"/>
      <c r="GI132" s="119"/>
      <c r="GJ132" s="119"/>
      <c r="GK132" s="119"/>
      <c r="GL132" s="119"/>
      <c r="GM132" s="119"/>
      <c r="GN132" s="119"/>
      <c r="GO132" s="119"/>
      <c r="GP132" s="119"/>
      <c r="GQ132" s="119"/>
      <c r="GR132" s="119"/>
      <c r="GS132" s="119"/>
      <c r="GT132" s="119"/>
      <c r="GU132" s="119"/>
      <c r="GV132" s="119"/>
      <c r="GW132" s="119"/>
      <c r="GX132" s="119"/>
      <c r="GY132" s="119"/>
      <c r="GZ132" s="119"/>
      <c r="HA132" s="119"/>
      <c r="HB132" s="119"/>
      <c r="HC132" s="119"/>
      <c r="HD132" s="119"/>
      <c r="HE132" s="119"/>
      <c r="HF132" s="119"/>
      <c r="HG132" s="119"/>
      <c r="HH132" s="119"/>
      <c r="HI132" s="119"/>
      <c r="HJ132" s="119"/>
      <c r="HK132" s="119"/>
      <c r="HL132" s="119"/>
      <c r="HM132" s="119"/>
      <c r="HN132" s="119"/>
      <c r="HO132" s="119"/>
      <c r="HP132" s="119"/>
      <c r="HQ132" s="119"/>
      <c r="HR132" s="119"/>
      <c r="HS132" s="119"/>
      <c r="HT132" s="119"/>
      <c r="HU132" s="119"/>
      <c r="HV132" s="119"/>
      <c r="HW132" s="119"/>
      <c r="HX132" s="119"/>
      <c r="HY132" s="119"/>
      <c r="HZ132" s="119"/>
      <c r="IA132" s="119"/>
      <c r="IB132" s="119"/>
      <c r="IC132" s="119"/>
      <c r="ID132" s="119"/>
      <c r="IE132" s="119"/>
      <c r="IF132" s="119"/>
      <c r="IG132" s="119"/>
      <c r="IH132" s="119"/>
      <c r="II132" s="119"/>
      <c r="IJ132" s="119"/>
      <c r="IK132" s="119"/>
      <c r="IL132" s="119"/>
      <c r="IM132" s="119"/>
      <c r="IN132" s="119"/>
      <c r="IO132" s="119"/>
      <c r="IP132" s="119"/>
      <c r="IQ132" s="119"/>
      <c r="IR132" s="119"/>
      <c r="IS132" s="119"/>
      <c r="IT132" s="119"/>
      <c r="IU132" s="119"/>
      <c r="IV132" s="119"/>
      <c r="IW132" s="119"/>
    </row>
    <row r="133" spans="1:257" s="187" customFormat="1" ht="18" customHeight="1" x14ac:dyDescent="0.35">
      <c r="A133" s="195">
        <v>124</v>
      </c>
      <c r="B133" s="575"/>
      <c r="C133" s="548"/>
      <c r="D133" s="1268" t="s">
        <v>862</v>
      </c>
      <c r="E133" s="238"/>
      <c r="F133" s="238"/>
      <c r="G133" s="576"/>
      <c r="H133" s="240"/>
      <c r="I133" s="1270"/>
      <c r="J133" s="1270"/>
      <c r="K133" s="1270"/>
      <c r="L133" s="1270"/>
      <c r="M133" s="1270">
        <f>SUM(M131:M132)</f>
        <v>0</v>
      </c>
      <c r="N133" s="1270"/>
      <c r="O133" s="1270">
        <f t="shared" ref="O133" si="34">SUM(O131:O132)</f>
        <v>47000</v>
      </c>
      <c r="P133" s="1275">
        <f>SUM(I133:O133)</f>
        <v>47000</v>
      </c>
      <c r="Q133" s="1246"/>
      <c r="R133" s="119"/>
      <c r="S133" s="119"/>
      <c r="T133" s="119"/>
      <c r="U133" s="119"/>
      <c r="V133" s="119"/>
      <c r="W133" s="119"/>
      <c r="X133" s="119"/>
      <c r="Y133" s="119"/>
      <c r="Z133" s="119"/>
      <c r="AA133" s="119"/>
      <c r="AB133" s="119"/>
      <c r="AC133" s="119"/>
      <c r="AD133" s="119"/>
      <c r="AE133" s="119"/>
      <c r="AF133" s="119"/>
      <c r="AG133" s="119"/>
      <c r="AH133" s="119"/>
      <c r="AI133" s="119"/>
      <c r="AJ133" s="119"/>
      <c r="AK133" s="119"/>
      <c r="AL133" s="119"/>
      <c r="AM133" s="119"/>
      <c r="AN133" s="119"/>
      <c r="AO133" s="119"/>
      <c r="AP133" s="119"/>
      <c r="AQ133" s="119"/>
      <c r="AR133" s="119"/>
      <c r="AS133" s="119"/>
      <c r="AT133" s="119"/>
      <c r="AU133" s="119"/>
      <c r="AV133" s="119"/>
      <c r="AW133" s="119"/>
      <c r="AX133" s="119"/>
      <c r="AY133" s="119"/>
      <c r="AZ133" s="119"/>
      <c r="BA133" s="119"/>
      <c r="BB133" s="119"/>
      <c r="BC133" s="119"/>
      <c r="BD133" s="119"/>
      <c r="BE133" s="119"/>
      <c r="BF133" s="119"/>
      <c r="BG133" s="119"/>
      <c r="BH133" s="119"/>
      <c r="BI133" s="119"/>
      <c r="BJ133" s="119"/>
      <c r="BK133" s="119"/>
      <c r="BL133" s="119"/>
      <c r="BM133" s="119"/>
      <c r="BN133" s="119"/>
      <c r="BO133" s="119"/>
      <c r="BP133" s="119"/>
      <c r="BQ133" s="119"/>
      <c r="BR133" s="119"/>
      <c r="BS133" s="119"/>
      <c r="BT133" s="119"/>
      <c r="BU133" s="119"/>
      <c r="BV133" s="119"/>
      <c r="BW133" s="119"/>
      <c r="BX133" s="119"/>
      <c r="BY133" s="119"/>
      <c r="BZ133" s="119"/>
      <c r="CA133" s="119"/>
      <c r="CB133" s="119"/>
      <c r="CC133" s="119"/>
      <c r="CD133" s="119"/>
      <c r="CE133" s="119"/>
      <c r="CF133" s="119"/>
      <c r="CG133" s="119"/>
      <c r="CH133" s="119"/>
      <c r="CI133" s="119"/>
      <c r="CJ133" s="119"/>
      <c r="CK133" s="119"/>
      <c r="CL133" s="119"/>
      <c r="CM133" s="119"/>
      <c r="CN133" s="119"/>
      <c r="CO133" s="119"/>
      <c r="CP133" s="119"/>
      <c r="CQ133" s="119"/>
      <c r="CR133" s="119"/>
      <c r="CS133" s="119"/>
      <c r="CT133" s="119"/>
      <c r="CU133" s="119"/>
      <c r="CV133" s="119"/>
      <c r="CW133" s="119"/>
      <c r="CX133" s="119"/>
      <c r="CY133" s="119"/>
      <c r="CZ133" s="119"/>
      <c r="DA133" s="119"/>
      <c r="DB133" s="119"/>
      <c r="DC133" s="119"/>
      <c r="DD133" s="119"/>
      <c r="DE133" s="119"/>
      <c r="DF133" s="119"/>
      <c r="DG133" s="119"/>
      <c r="DH133" s="119"/>
      <c r="DI133" s="119"/>
      <c r="DJ133" s="119"/>
      <c r="DK133" s="119"/>
      <c r="DL133" s="119"/>
      <c r="DM133" s="119"/>
      <c r="DN133" s="119"/>
      <c r="DO133" s="119"/>
      <c r="DP133" s="119"/>
      <c r="DQ133" s="119"/>
      <c r="DR133" s="119"/>
      <c r="DS133" s="119"/>
      <c r="DT133" s="119"/>
      <c r="DU133" s="119"/>
      <c r="DV133" s="119"/>
      <c r="DW133" s="119"/>
      <c r="DX133" s="119"/>
      <c r="DY133" s="119"/>
      <c r="DZ133" s="119"/>
      <c r="EA133" s="119"/>
      <c r="EB133" s="119"/>
      <c r="EC133" s="119"/>
      <c r="ED133" s="119"/>
      <c r="EE133" s="119"/>
      <c r="EF133" s="119"/>
      <c r="EG133" s="119"/>
      <c r="EH133" s="119"/>
      <c r="EI133" s="119"/>
      <c r="EJ133" s="119"/>
      <c r="EK133" s="119"/>
      <c r="EL133" s="119"/>
      <c r="EM133" s="119"/>
      <c r="EN133" s="119"/>
      <c r="EO133" s="119"/>
      <c r="EP133" s="119"/>
      <c r="EQ133" s="119"/>
      <c r="ER133" s="119"/>
      <c r="ES133" s="119"/>
      <c r="ET133" s="119"/>
      <c r="EU133" s="119"/>
      <c r="EV133" s="119"/>
      <c r="EW133" s="119"/>
      <c r="EX133" s="119"/>
      <c r="EY133" s="119"/>
      <c r="EZ133" s="119"/>
      <c r="FA133" s="119"/>
      <c r="FB133" s="119"/>
      <c r="FC133" s="119"/>
      <c r="FD133" s="119"/>
      <c r="FE133" s="119"/>
      <c r="FF133" s="119"/>
      <c r="FG133" s="119"/>
      <c r="FH133" s="119"/>
      <c r="FI133" s="119"/>
      <c r="FJ133" s="119"/>
      <c r="FK133" s="119"/>
      <c r="FL133" s="119"/>
      <c r="FM133" s="119"/>
      <c r="FN133" s="119"/>
      <c r="FO133" s="119"/>
      <c r="FP133" s="119"/>
      <c r="FQ133" s="119"/>
      <c r="FR133" s="119"/>
      <c r="FS133" s="119"/>
      <c r="FT133" s="119"/>
      <c r="FU133" s="119"/>
      <c r="FV133" s="119"/>
      <c r="FW133" s="119"/>
      <c r="FX133" s="119"/>
      <c r="FY133" s="119"/>
      <c r="FZ133" s="119"/>
      <c r="GA133" s="119"/>
      <c r="GB133" s="119"/>
      <c r="GC133" s="119"/>
      <c r="GD133" s="119"/>
      <c r="GE133" s="119"/>
      <c r="GF133" s="119"/>
      <c r="GG133" s="119"/>
      <c r="GH133" s="119"/>
      <c r="GI133" s="119"/>
      <c r="GJ133" s="119"/>
      <c r="GK133" s="119"/>
      <c r="GL133" s="119"/>
      <c r="GM133" s="119"/>
      <c r="GN133" s="119"/>
      <c r="GO133" s="119"/>
      <c r="GP133" s="119"/>
      <c r="GQ133" s="119"/>
      <c r="GR133" s="119"/>
      <c r="GS133" s="119"/>
      <c r="GT133" s="119"/>
      <c r="GU133" s="119"/>
      <c r="GV133" s="119"/>
      <c r="GW133" s="119"/>
      <c r="GX133" s="119"/>
      <c r="GY133" s="119"/>
      <c r="GZ133" s="119"/>
      <c r="HA133" s="119"/>
      <c r="HB133" s="119"/>
      <c r="HC133" s="119"/>
      <c r="HD133" s="119"/>
      <c r="HE133" s="119"/>
      <c r="HF133" s="119"/>
      <c r="HG133" s="119"/>
      <c r="HH133" s="119"/>
      <c r="HI133" s="119"/>
      <c r="HJ133" s="119"/>
      <c r="HK133" s="119"/>
      <c r="HL133" s="119"/>
      <c r="HM133" s="119"/>
      <c r="HN133" s="119"/>
      <c r="HO133" s="119"/>
      <c r="HP133" s="119"/>
      <c r="HQ133" s="119"/>
      <c r="HR133" s="119"/>
      <c r="HS133" s="119"/>
      <c r="HT133" s="119"/>
      <c r="HU133" s="119"/>
      <c r="HV133" s="119"/>
      <c r="HW133" s="119"/>
      <c r="HX133" s="119"/>
      <c r="HY133" s="119"/>
      <c r="HZ133" s="119"/>
      <c r="IA133" s="119"/>
      <c r="IB133" s="119"/>
      <c r="IC133" s="119"/>
      <c r="ID133" s="119"/>
      <c r="IE133" s="119"/>
      <c r="IF133" s="119"/>
      <c r="IG133" s="119"/>
      <c r="IH133" s="119"/>
      <c r="II133" s="119"/>
      <c r="IJ133" s="119"/>
      <c r="IK133" s="119"/>
      <c r="IL133" s="119"/>
      <c r="IM133" s="119"/>
      <c r="IN133" s="119"/>
      <c r="IO133" s="119"/>
      <c r="IP133" s="119"/>
      <c r="IQ133" s="119"/>
      <c r="IR133" s="119"/>
      <c r="IS133" s="119"/>
      <c r="IT133" s="119"/>
      <c r="IU133" s="119"/>
      <c r="IV133" s="119"/>
      <c r="IW133" s="119"/>
    </row>
    <row r="134" spans="1:257" s="187" customFormat="1" ht="38.25" customHeight="1" x14ac:dyDescent="0.35">
      <c r="A134" s="195">
        <v>125</v>
      </c>
      <c r="B134" s="692"/>
      <c r="C134" s="120">
        <v>43</v>
      </c>
      <c r="D134" s="1493" t="s">
        <v>1018</v>
      </c>
      <c r="E134" s="127">
        <f>F134+G134+P136</f>
        <v>160000</v>
      </c>
      <c r="F134" s="127"/>
      <c r="G134" s="693"/>
      <c r="H134" s="224" t="s">
        <v>24</v>
      </c>
      <c r="I134" s="559"/>
      <c r="J134" s="559"/>
      <c r="K134" s="559"/>
      <c r="L134" s="559"/>
      <c r="M134" s="559"/>
      <c r="N134" s="559"/>
      <c r="O134" s="1795"/>
      <c r="P134" s="1272"/>
      <c r="Q134" s="694"/>
      <c r="R134" s="119"/>
      <c r="S134" s="119"/>
      <c r="T134" s="119"/>
      <c r="U134" s="119"/>
      <c r="V134" s="119"/>
      <c r="W134" s="119"/>
      <c r="X134" s="119"/>
      <c r="Y134" s="119"/>
      <c r="Z134" s="119"/>
      <c r="AA134" s="119"/>
      <c r="AB134" s="119"/>
      <c r="AC134" s="119"/>
      <c r="AD134" s="119"/>
      <c r="AE134" s="119"/>
      <c r="AF134" s="119"/>
      <c r="AG134" s="119"/>
      <c r="AH134" s="119"/>
      <c r="AI134" s="119"/>
      <c r="AJ134" s="119"/>
      <c r="AK134" s="119"/>
      <c r="AL134" s="119"/>
      <c r="AM134" s="119"/>
      <c r="AN134" s="119"/>
      <c r="AO134" s="119"/>
      <c r="AP134" s="119"/>
      <c r="AQ134" s="119"/>
      <c r="AR134" s="119"/>
      <c r="AS134" s="119"/>
      <c r="AT134" s="119"/>
      <c r="AU134" s="119"/>
      <c r="AV134" s="119"/>
      <c r="AW134" s="119"/>
      <c r="AX134" s="119"/>
      <c r="AY134" s="119"/>
      <c r="AZ134" s="119"/>
      <c r="BA134" s="119"/>
      <c r="BB134" s="119"/>
      <c r="BC134" s="119"/>
      <c r="BD134" s="119"/>
      <c r="BE134" s="119"/>
      <c r="BF134" s="119"/>
      <c r="BG134" s="119"/>
      <c r="BH134" s="119"/>
      <c r="BI134" s="119"/>
      <c r="BJ134" s="119"/>
      <c r="BK134" s="119"/>
      <c r="BL134" s="119"/>
      <c r="BM134" s="119"/>
      <c r="BN134" s="119"/>
      <c r="BO134" s="119"/>
      <c r="BP134" s="119"/>
      <c r="BQ134" s="119"/>
      <c r="BR134" s="119"/>
      <c r="BS134" s="119"/>
      <c r="BT134" s="119"/>
      <c r="BU134" s="119"/>
      <c r="BV134" s="119"/>
      <c r="BW134" s="119"/>
      <c r="BX134" s="119"/>
      <c r="BY134" s="119"/>
      <c r="BZ134" s="119"/>
      <c r="CA134" s="119"/>
      <c r="CB134" s="119"/>
      <c r="CC134" s="119"/>
      <c r="CD134" s="119"/>
      <c r="CE134" s="119"/>
      <c r="CF134" s="119"/>
      <c r="CG134" s="119"/>
      <c r="CH134" s="119"/>
      <c r="CI134" s="119"/>
      <c r="CJ134" s="119"/>
      <c r="CK134" s="119"/>
      <c r="CL134" s="119"/>
      <c r="CM134" s="119"/>
      <c r="CN134" s="119"/>
      <c r="CO134" s="119"/>
      <c r="CP134" s="119"/>
      <c r="CQ134" s="119"/>
      <c r="CR134" s="119"/>
      <c r="CS134" s="119"/>
      <c r="CT134" s="119"/>
      <c r="CU134" s="119"/>
      <c r="CV134" s="119"/>
      <c r="CW134" s="119"/>
      <c r="CX134" s="119"/>
      <c r="CY134" s="119"/>
      <c r="CZ134" s="119"/>
      <c r="DA134" s="119"/>
      <c r="DB134" s="119"/>
      <c r="DC134" s="119"/>
      <c r="DD134" s="119"/>
      <c r="DE134" s="119"/>
      <c r="DF134" s="119"/>
      <c r="DG134" s="119"/>
      <c r="DH134" s="119"/>
      <c r="DI134" s="119"/>
      <c r="DJ134" s="119"/>
      <c r="DK134" s="119"/>
      <c r="DL134" s="119"/>
      <c r="DM134" s="119"/>
      <c r="DN134" s="119"/>
      <c r="DO134" s="119"/>
      <c r="DP134" s="119"/>
      <c r="DQ134" s="119"/>
      <c r="DR134" s="119"/>
      <c r="DS134" s="119"/>
      <c r="DT134" s="119"/>
      <c r="DU134" s="119"/>
      <c r="DV134" s="119"/>
      <c r="DW134" s="119"/>
      <c r="DX134" s="119"/>
      <c r="DY134" s="119"/>
      <c r="DZ134" s="119"/>
      <c r="EA134" s="119"/>
      <c r="EB134" s="119"/>
      <c r="EC134" s="119"/>
      <c r="ED134" s="119"/>
      <c r="EE134" s="119"/>
      <c r="EF134" s="119"/>
      <c r="EG134" s="119"/>
      <c r="EH134" s="119"/>
      <c r="EI134" s="119"/>
      <c r="EJ134" s="119"/>
      <c r="EK134" s="119"/>
      <c r="EL134" s="119"/>
      <c r="EM134" s="119"/>
      <c r="EN134" s="119"/>
      <c r="EO134" s="119"/>
      <c r="EP134" s="119"/>
      <c r="EQ134" s="119"/>
      <c r="ER134" s="119"/>
      <c r="ES134" s="119"/>
      <c r="ET134" s="119"/>
      <c r="EU134" s="119"/>
      <c r="EV134" s="119"/>
      <c r="EW134" s="119"/>
      <c r="EX134" s="119"/>
      <c r="EY134" s="119"/>
      <c r="EZ134" s="119"/>
      <c r="FA134" s="119"/>
      <c r="FB134" s="119"/>
      <c r="FC134" s="119"/>
      <c r="FD134" s="119"/>
      <c r="FE134" s="119"/>
      <c r="FF134" s="119"/>
      <c r="FG134" s="119"/>
      <c r="FH134" s="119"/>
      <c r="FI134" s="119"/>
      <c r="FJ134" s="119"/>
      <c r="FK134" s="119"/>
      <c r="FL134" s="119"/>
      <c r="FM134" s="119"/>
      <c r="FN134" s="119"/>
      <c r="FO134" s="119"/>
      <c r="FP134" s="119"/>
      <c r="FQ134" s="119"/>
      <c r="FR134" s="119"/>
      <c r="FS134" s="119"/>
      <c r="FT134" s="119"/>
      <c r="FU134" s="119"/>
      <c r="FV134" s="119"/>
      <c r="FW134" s="119"/>
      <c r="FX134" s="119"/>
      <c r="FY134" s="119"/>
      <c r="FZ134" s="119"/>
      <c r="GA134" s="119"/>
      <c r="GB134" s="119"/>
      <c r="GC134" s="119"/>
      <c r="GD134" s="119"/>
      <c r="GE134" s="119"/>
      <c r="GF134" s="119"/>
      <c r="GG134" s="119"/>
      <c r="GH134" s="119"/>
      <c r="GI134" s="119"/>
      <c r="GJ134" s="119"/>
      <c r="GK134" s="119"/>
      <c r="GL134" s="119"/>
      <c r="GM134" s="119"/>
      <c r="GN134" s="119"/>
      <c r="GO134" s="119"/>
      <c r="GP134" s="119"/>
      <c r="GQ134" s="119"/>
      <c r="GR134" s="119"/>
      <c r="GS134" s="119"/>
      <c r="GT134" s="119"/>
      <c r="GU134" s="119"/>
      <c r="GV134" s="119"/>
      <c r="GW134" s="119"/>
      <c r="GX134" s="119"/>
      <c r="GY134" s="119"/>
      <c r="GZ134" s="119"/>
      <c r="HA134" s="119"/>
      <c r="HB134" s="119"/>
      <c r="HC134" s="119"/>
      <c r="HD134" s="119"/>
      <c r="HE134" s="119"/>
      <c r="HF134" s="119"/>
      <c r="HG134" s="119"/>
      <c r="HH134" s="119"/>
      <c r="HI134" s="119"/>
      <c r="HJ134" s="119"/>
      <c r="HK134" s="119"/>
      <c r="HL134" s="119"/>
      <c r="HM134" s="119"/>
      <c r="HN134" s="119"/>
      <c r="HO134" s="119"/>
      <c r="HP134" s="119"/>
      <c r="HQ134" s="119"/>
      <c r="HR134" s="119"/>
      <c r="HS134" s="119"/>
      <c r="HT134" s="119"/>
      <c r="HU134" s="119"/>
      <c r="HV134" s="119"/>
      <c r="HW134" s="119"/>
      <c r="HX134" s="119"/>
      <c r="HY134" s="119"/>
      <c r="HZ134" s="119"/>
      <c r="IA134" s="119"/>
      <c r="IB134" s="119"/>
      <c r="IC134" s="119"/>
      <c r="ID134" s="119"/>
      <c r="IE134" s="119"/>
      <c r="IF134" s="119"/>
      <c r="IG134" s="119"/>
      <c r="IH134" s="119"/>
      <c r="II134" s="119"/>
      <c r="IJ134" s="119"/>
      <c r="IK134" s="119"/>
      <c r="IL134" s="119"/>
      <c r="IM134" s="119"/>
      <c r="IN134" s="119"/>
      <c r="IO134" s="119"/>
      <c r="IP134" s="119"/>
      <c r="IQ134" s="119"/>
      <c r="IR134" s="119"/>
      <c r="IS134" s="119"/>
      <c r="IT134" s="119"/>
      <c r="IU134" s="119"/>
      <c r="IV134" s="119"/>
      <c r="IW134" s="119"/>
    </row>
    <row r="135" spans="1:257" s="187" customFormat="1" ht="18" customHeight="1" x14ac:dyDescent="0.35">
      <c r="A135" s="195">
        <v>126</v>
      </c>
      <c r="B135" s="692"/>
      <c r="C135" s="120"/>
      <c r="D135" s="1265" t="s">
        <v>656</v>
      </c>
      <c r="E135" s="127"/>
      <c r="F135" s="127"/>
      <c r="G135" s="693"/>
      <c r="H135" s="224"/>
      <c r="I135" s="559"/>
      <c r="J135" s="559"/>
      <c r="K135" s="1282">
        <v>5717</v>
      </c>
      <c r="L135" s="1282"/>
      <c r="M135" s="1282">
        <v>154283</v>
      </c>
      <c r="N135" s="559"/>
      <c r="O135" s="1795"/>
      <c r="P135" s="1276">
        <f>SUM(I135:O135)</f>
        <v>160000</v>
      </c>
      <c r="Q135" s="694"/>
      <c r="R135" s="119"/>
      <c r="S135" s="119"/>
      <c r="T135" s="119"/>
      <c r="U135" s="119"/>
      <c r="V135" s="119"/>
      <c r="W135" s="119"/>
      <c r="X135" s="119"/>
      <c r="Y135" s="119"/>
      <c r="Z135" s="119"/>
      <c r="AA135" s="119"/>
      <c r="AB135" s="119"/>
      <c r="AC135" s="119"/>
      <c r="AD135" s="119"/>
      <c r="AE135" s="119"/>
      <c r="AF135" s="119"/>
      <c r="AG135" s="119"/>
      <c r="AH135" s="119"/>
      <c r="AI135" s="119"/>
      <c r="AJ135" s="119"/>
      <c r="AK135" s="119"/>
      <c r="AL135" s="119"/>
      <c r="AM135" s="119"/>
      <c r="AN135" s="119"/>
      <c r="AO135" s="119"/>
      <c r="AP135" s="119"/>
      <c r="AQ135" s="119"/>
      <c r="AR135" s="119"/>
      <c r="AS135" s="119"/>
      <c r="AT135" s="119"/>
      <c r="AU135" s="119"/>
      <c r="AV135" s="119"/>
      <c r="AW135" s="119"/>
      <c r="AX135" s="119"/>
      <c r="AY135" s="119"/>
      <c r="AZ135" s="119"/>
      <c r="BA135" s="119"/>
      <c r="BB135" s="119"/>
      <c r="BC135" s="119"/>
      <c r="BD135" s="119"/>
      <c r="BE135" s="119"/>
      <c r="BF135" s="119"/>
      <c r="BG135" s="119"/>
      <c r="BH135" s="119"/>
      <c r="BI135" s="119"/>
      <c r="BJ135" s="119"/>
      <c r="BK135" s="119"/>
      <c r="BL135" s="119"/>
      <c r="BM135" s="119"/>
      <c r="BN135" s="119"/>
      <c r="BO135" s="119"/>
      <c r="BP135" s="119"/>
      <c r="BQ135" s="119"/>
      <c r="BR135" s="119"/>
      <c r="BS135" s="119"/>
      <c r="BT135" s="119"/>
      <c r="BU135" s="119"/>
      <c r="BV135" s="119"/>
      <c r="BW135" s="119"/>
      <c r="BX135" s="119"/>
      <c r="BY135" s="119"/>
      <c r="BZ135" s="119"/>
      <c r="CA135" s="119"/>
      <c r="CB135" s="119"/>
      <c r="CC135" s="119"/>
      <c r="CD135" s="119"/>
      <c r="CE135" s="119"/>
      <c r="CF135" s="119"/>
      <c r="CG135" s="119"/>
      <c r="CH135" s="119"/>
      <c r="CI135" s="119"/>
      <c r="CJ135" s="119"/>
      <c r="CK135" s="119"/>
      <c r="CL135" s="119"/>
      <c r="CM135" s="119"/>
      <c r="CN135" s="119"/>
      <c r="CO135" s="119"/>
      <c r="CP135" s="119"/>
      <c r="CQ135" s="119"/>
      <c r="CR135" s="119"/>
      <c r="CS135" s="119"/>
      <c r="CT135" s="119"/>
      <c r="CU135" s="119"/>
      <c r="CV135" s="119"/>
      <c r="CW135" s="119"/>
      <c r="CX135" s="119"/>
      <c r="CY135" s="119"/>
      <c r="CZ135" s="119"/>
      <c r="DA135" s="119"/>
      <c r="DB135" s="119"/>
      <c r="DC135" s="119"/>
      <c r="DD135" s="119"/>
      <c r="DE135" s="119"/>
      <c r="DF135" s="119"/>
      <c r="DG135" s="119"/>
      <c r="DH135" s="119"/>
      <c r="DI135" s="119"/>
      <c r="DJ135" s="119"/>
      <c r="DK135" s="119"/>
      <c r="DL135" s="119"/>
      <c r="DM135" s="119"/>
      <c r="DN135" s="119"/>
      <c r="DO135" s="119"/>
      <c r="DP135" s="119"/>
      <c r="DQ135" s="119"/>
      <c r="DR135" s="119"/>
      <c r="DS135" s="119"/>
      <c r="DT135" s="119"/>
      <c r="DU135" s="119"/>
      <c r="DV135" s="119"/>
      <c r="DW135" s="119"/>
      <c r="DX135" s="119"/>
      <c r="DY135" s="119"/>
      <c r="DZ135" s="119"/>
      <c r="EA135" s="119"/>
      <c r="EB135" s="119"/>
      <c r="EC135" s="119"/>
      <c r="ED135" s="119"/>
      <c r="EE135" s="119"/>
      <c r="EF135" s="119"/>
      <c r="EG135" s="119"/>
      <c r="EH135" s="119"/>
      <c r="EI135" s="119"/>
      <c r="EJ135" s="119"/>
      <c r="EK135" s="119"/>
      <c r="EL135" s="119"/>
      <c r="EM135" s="119"/>
      <c r="EN135" s="119"/>
      <c r="EO135" s="119"/>
      <c r="EP135" s="119"/>
      <c r="EQ135" s="119"/>
      <c r="ER135" s="119"/>
      <c r="ES135" s="119"/>
      <c r="ET135" s="119"/>
      <c r="EU135" s="119"/>
      <c r="EV135" s="119"/>
      <c r="EW135" s="119"/>
      <c r="EX135" s="119"/>
      <c r="EY135" s="119"/>
      <c r="EZ135" s="119"/>
      <c r="FA135" s="119"/>
      <c r="FB135" s="119"/>
      <c r="FC135" s="119"/>
      <c r="FD135" s="119"/>
      <c r="FE135" s="119"/>
      <c r="FF135" s="119"/>
      <c r="FG135" s="119"/>
      <c r="FH135" s="119"/>
      <c r="FI135" s="119"/>
      <c r="FJ135" s="119"/>
      <c r="FK135" s="119"/>
      <c r="FL135" s="119"/>
      <c r="FM135" s="119"/>
      <c r="FN135" s="119"/>
      <c r="FO135" s="119"/>
      <c r="FP135" s="119"/>
      <c r="FQ135" s="119"/>
      <c r="FR135" s="119"/>
      <c r="FS135" s="119"/>
      <c r="FT135" s="119"/>
      <c r="FU135" s="119"/>
      <c r="FV135" s="119"/>
      <c r="FW135" s="119"/>
      <c r="FX135" s="119"/>
      <c r="FY135" s="119"/>
      <c r="FZ135" s="119"/>
      <c r="GA135" s="119"/>
      <c r="GB135" s="119"/>
      <c r="GC135" s="119"/>
      <c r="GD135" s="119"/>
      <c r="GE135" s="119"/>
      <c r="GF135" s="119"/>
      <c r="GG135" s="119"/>
      <c r="GH135" s="119"/>
      <c r="GI135" s="119"/>
      <c r="GJ135" s="119"/>
      <c r="GK135" s="119"/>
      <c r="GL135" s="119"/>
      <c r="GM135" s="119"/>
      <c r="GN135" s="119"/>
      <c r="GO135" s="119"/>
      <c r="GP135" s="119"/>
      <c r="GQ135" s="119"/>
      <c r="GR135" s="119"/>
      <c r="GS135" s="119"/>
      <c r="GT135" s="119"/>
      <c r="GU135" s="119"/>
      <c r="GV135" s="119"/>
      <c r="GW135" s="119"/>
      <c r="GX135" s="119"/>
      <c r="GY135" s="119"/>
      <c r="GZ135" s="119"/>
      <c r="HA135" s="119"/>
      <c r="HB135" s="119"/>
      <c r="HC135" s="119"/>
      <c r="HD135" s="119"/>
      <c r="HE135" s="119"/>
      <c r="HF135" s="119"/>
      <c r="HG135" s="119"/>
      <c r="HH135" s="119"/>
      <c r="HI135" s="119"/>
      <c r="HJ135" s="119"/>
      <c r="HK135" s="119"/>
      <c r="HL135" s="119"/>
      <c r="HM135" s="119"/>
      <c r="HN135" s="119"/>
      <c r="HO135" s="119"/>
      <c r="HP135" s="119"/>
      <c r="HQ135" s="119"/>
      <c r="HR135" s="119"/>
      <c r="HS135" s="119"/>
      <c r="HT135" s="119"/>
      <c r="HU135" s="119"/>
      <c r="HV135" s="119"/>
      <c r="HW135" s="119"/>
      <c r="HX135" s="119"/>
      <c r="HY135" s="119"/>
      <c r="HZ135" s="119"/>
      <c r="IA135" s="119"/>
      <c r="IB135" s="119"/>
      <c r="IC135" s="119"/>
      <c r="ID135" s="119"/>
      <c r="IE135" s="119"/>
      <c r="IF135" s="119"/>
      <c r="IG135" s="119"/>
      <c r="IH135" s="119"/>
      <c r="II135" s="119"/>
      <c r="IJ135" s="119"/>
      <c r="IK135" s="119"/>
      <c r="IL135" s="119"/>
      <c r="IM135" s="119"/>
      <c r="IN135" s="119"/>
      <c r="IO135" s="119"/>
      <c r="IP135" s="119"/>
      <c r="IQ135" s="119"/>
      <c r="IR135" s="119"/>
      <c r="IS135" s="119"/>
      <c r="IT135" s="119"/>
      <c r="IU135" s="119"/>
      <c r="IV135" s="119"/>
      <c r="IW135" s="119"/>
    </row>
    <row r="136" spans="1:257" s="187" customFormat="1" ht="18" customHeight="1" x14ac:dyDescent="0.35">
      <c r="A136" s="195">
        <v>127</v>
      </c>
      <c r="B136" s="692"/>
      <c r="C136" s="120"/>
      <c r="D136" s="1268" t="s">
        <v>862</v>
      </c>
      <c r="E136" s="127"/>
      <c r="F136" s="127"/>
      <c r="G136" s="693"/>
      <c r="H136" s="224"/>
      <c r="I136" s="559"/>
      <c r="J136" s="559"/>
      <c r="K136" s="559">
        <f>SUM(K135)</f>
        <v>5717</v>
      </c>
      <c r="L136" s="559"/>
      <c r="M136" s="559">
        <f>SUM(M135)</f>
        <v>154283</v>
      </c>
      <c r="N136" s="559"/>
      <c r="O136" s="1795"/>
      <c r="P136" s="1275">
        <f>SUM(I136:O136)</f>
        <v>160000</v>
      </c>
      <c r="Q136" s="694"/>
      <c r="R136" s="119"/>
      <c r="S136" s="119"/>
      <c r="T136" s="119"/>
      <c r="U136" s="119"/>
      <c r="V136" s="119"/>
      <c r="W136" s="119"/>
      <c r="X136" s="119"/>
      <c r="Y136" s="119"/>
      <c r="Z136" s="119"/>
      <c r="AA136" s="119"/>
      <c r="AB136" s="119"/>
      <c r="AC136" s="119"/>
      <c r="AD136" s="119"/>
      <c r="AE136" s="119"/>
      <c r="AF136" s="119"/>
      <c r="AG136" s="119"/>
      <c r="AH136" s="119"/>
      <c r="AI136" s="119"/>
      <c r="AJ136" s="119"/>
      <c r="AK136" s="119"/>
      <c r="AL136" s="119"/>
      <c r="AM136" s="119"/>
      <c r="AN136" s="119"/>
      <c r="AO136" s="119"/>
      <c r="AP136" s="119"/>
      <c r="AQ136" s="119"/>
      <c r="AR136" s="119"/>
      <c r="AS136" s="119"/>
      <c r="AT136" s="119"/>
      <c r="AU136" s="119"/>
      <c r="AV136" s="119"/>
      <c r="AW136" s="119"/>
      <c r="AX136" s="119"/>
      <c r="AY136" s="119"/>
      <c r="AZ136" s="119"/>
      <c r="BA136" s="119"/>
      <c r="BB136" s="119"/>
      <c r="BC136" s="119"/>
      <c r="BD136" s="119"/>
      <c r="BE136" s="119"/>
      <c r="BF136" s="119"/>
      <c r="BG136" s="119"/>
      <c r="BH136" s="119"/>
      <c r="BI136" s="119"/>
      <c r="BJ136" s="119"/>
      <c r="BK136" s="119"/>
      <c r="BL136" s="119"/>
      <c r="BM136" s="119"/>
      <c r="BN136" s="119"/>
      <c r="BO136" s="119"/>
      <c r="BP136" s="119"/>
      <c r="BQ136" s="119"/>
      <c r="BR136" s="119"/>
      <c r="BS136" s="119"/>
      <c r="BT136" s="119"/>
      <c r="BU136" s="119"/>
      <c r="BV136" s="119"/>
      <c r="BW136" s="119"/>
      <c r="BX136" s="119"/>
      <c r="BY136" s="119"/>
      <c r="BZ136" s="119"/>
      <c r="CA136" s="119"/>
      <c r="CB136" s="119"/>
      <c r="CC136" s="119"/>
      <c r="CD136" s="119"/>
      <c r="CE136" s="119"/>
      <c r="CF136" s="119"/>
      <c r="CG136" s="119"/>
      <c r="CH136" s="119"/>
      <c r="CI136" s="119"/>
      <c r="CJ136" s="119"/>
      <c r="CK136" s="119"/>
      <c r="CL136" s="119"/>
      <c r="CM136" s="119"/>
      <c r="CN136" s="119"/>
      <c r="CO136" s="119"/>
      <c r="CP136" s="119"/>
      <c r="CQ136" s="119"/>
      <c r="CR136" s="119"/>
      <c r="CS136" s="119"/>
      <c r="CT136" s="119"/>
      <c r="CU136" s="119"/>
      <c r="CV136" s="119"/>
      <c r="CW136" s="119"/>
      <c r="CX136" s="119"/>
      <c r="CY136" s="119"/>
      <c r="CZ136" s="119"/>
      <c r="DA136" s="119"/>
      <c r="DB136" s="119"/>
      <c r="DC136" s="119"/>
      <c r="DD136" s="119"/>
      <c r="DE136" s="119"/>
      <c r="DF136" s="119"/>
      <c r="DG136" s="119"/>
      <c r="DH136" s="119"/>
      <c r="DI136" s="119"/>
      <c r="DJ136" s="119"/>
      <c r="DK136" s="119"/>
      <c r="DL136" s="119"/>
      <c r="DM136" s="119"/>
      <c r="DN136" s="119"/>
      <c r="DO136" s="119"/>
      <c r="DP136" s="119"/>
      <c r="DQ136" s="119"/>
      <c r="DR136" s="119"/>
      <c r="DS136" s="119"/>
      <c r="DT136" s="119"/>
      <c r="DU136" s="119"/>
      <c r="DV136" s="119"/>
      <c r="DW136" s="119"/>
      <c r="DX136" s="119"/>
      <c r="DY136" s="119"/>
      <c r="DZ136" s="119"/>
      <c r="EA136" s="119"/>
      <c r="EB136" s="119"/>
      <c r="EC136" s="119"/>
      <c r="ED136" s="119"/>
      <c r="EE136" s="119"/>
      <c r="EF136" s="119"/>
      <c r="EG136" s="119"/>
      <c r="EH136" s="119"/>
      <c r="EI136" s="119"/>
      <c r="EJ136" s="119"/>
      <c r="EK136" s="119"/>
      <c r="EL136" s="119"/>
      <c r="EM136" s="119"/>
      <c r="EN136" s="119"/>
      <c r="EO136" s="119"/>
      <c r="EP136" s="119"/>
      <c r="EQ136" s="119"/>
      <c r="ER136" s="119"/>
      <c r="ES136" s="119"/>
      <c r="ET136" s="119"/>
      <c r="EU136" s="119"/>
      <c r="EV136" s="119"/>
      <c r="EW136" s="119"/>
      <c r="EX136" s="119"/>
      <c r="EY136" s="119"/>
      <c r="EZ136" s="119"/>
      <c r="FA136" s="119"/>
      <c r="FB136" s="119"/>
      <c r="FC136" s="119"/>
      <c r="FD136" s="119"/>
      <c r="FE136" s="119"/>
      <c r="FF136" s="119"/>
      <c r="FG136" s="119"/>
      <c r="FH136" s="119"/>
      <c r="FI136" s="119"/>
      <c r="FJ136" s="119"/>
      <c r="FK136" s="119"/>
      <c r="FL136" s="119"/>
      <c r="FM136" s="119"/>
      <c r="FN136" s="119"/>
      <c r="FO136" s="119"/>
      <c r="FP136" s="119"/>
      <c r="FQ136" s="119"/>
      <c r="FR136" s="119"/>
      <c r="FS136" s="119"/>
      <c r="FT136" s="119"/>
      <c r="FU136" s="119"/>
      <c r="FV136" s="119"/>
      <c r="FW136" s="119"/>
      <c r="FX136" s="119"/>
      <c r="FY136" s="119"/>
      <c r="FZ136" s="119"/>
      <c r="GA136" s="119"/>
      <c r="GB136" s="119"/>
      <c r="GC136" s="119"/>
      <c r="GD136" s="119"/>
      <c r="GE136" s="119"/>
      <c r="GF136" s="119"/>
      <c r="GG136" s="119"/>
      <c r="GH136" s="119"/>
      <c r="GI136" s="119"/>
      <c r="GJ136" s="119"/>
      <c r="GK136" s="119"/>
      <c r="GL136" s="119"/>
      <c r="GM136" s="119"/>
      <c r="GN136" s="119"/>
      <c r="GO136" s="119"/>
      <c r="GP136" s="119"/>
      <c r="GQ136" s="119"/>
      <c r="GR136" s="119"/>
      <c r="GS136" s="119"/>
      <c r="GT136" s="119"/>
      <c r="GU136" s="119"/>
      <c r="GV136" s="119"/>
      <c r="GW136" s="119"/>
      <c r="GX136" s="119"/>
      <c r="GY136" s="119"/>
      <c r="GZ136" s="119"/>
      <c r="HA136" s="119"/>
      <c r="HB136" s="119"/>
      <c r="HC136" s="119"/>
      <c r="HD136" s="119"/>
      <c r="HE136" s="119"/>
      <c r="HF136" s="119"/>
      <c r="HG136" s="119"/>
      <c r="HH136" s="119"/>
      <c r="HI136" s="119"/>
      <c r="HJ136" s="119"/>
      <c r="HK136" s="119"/>
      <c r="HL136" s="119"/>
      <c r="HM136" s="119"/>
      <c r="HN136" s="119"/>
      <c r="HO136" s="119"/>
      <c r="HP136" s="119"/>
      <c r="HQ136" s="119"/>
      <c r="HR136" s="119"/>
      <c r="HS136" s="119"/>
      <c r="HT136" s="119"/>
      <c r="HU136" s="119"/>
      <c r="HV136" s="119"/>
      <c r="HW136" s="119"/>
      <c r="HX136" s="119"/>
      <c r="HY136" s="119"/>
      <c r="HZ136" s="119"/>
      <c r="IA136" s="119"/>
      <c r="IB136" s="119"/>
      <c r="IC136" s="119"/>
      <c r="ID136" s="119"/>
      <c r="IE136" s="119"/>
      <c r="IF136" s="119"/>
      <c r="IG136" s="119"/>
      <c r="IH136" s="119"/>
      <c r="II136" s="119"/>
      <c r="IJ136" s="119"/>
      <c r="IK136" s="119"/>
      <c r="IL136" s="119"/>
      <c r="IM136" s="119"/>
      <c r="IN136" s="119"/>
      <c r="IO136" s="119"/>
      <c r="IP136" s="119"/>
      <c r="IQ136" s="119"/>
      <c r="IR136" s="119"/>
      <c r="IS136" s="119"/>
      <c r="IT136" s="119"/>
      <c r="IU136" s="119"/>
      <c r="IV136" s="119"/>
      <c r="IW136" s="119"/>
    </row>
    <row r="137" spans="1:257" s="187" customFormat="1" ht="37.5" customHeight="1" x14ac:dyDescent="0.35">
      <c r="A137" s="195">
        <v>128</v>
      </c>
      <c r="B137" s="692"/>
      <c r="C137" s="120">
        <v>44</v>
      </c>
      <c r="D137" s="1493" t="s">
        <v>1019</v>
      </c>
      <c r="E137" s="127">
        <f>F137+G137+P139</f>
        <v>265969</v>
      </c>
      <c r="F137" s="127"/>
      <c r="G137" s="693"/>
      <c r="H137" s="224" t="s">
        <v>24</v>
      </c>
      <c r="I137" s="559"/>
      <c r="J137" s="559"/>
      <c r="K137" s="559"/>
      <c r="L137" s="559"/>
      <c r="M137" s="559"/>
      <c r="N137" s="559"/>
      <c r="O137" s="1795"/>
      <c r="P137" s="1275"/>
      <c r="Q137" s="694"/>
      <c r="R137" s="119"/>
      <c r="S137" s="119"/>
      <c r="T137" s="119"/>
      <c r="U137" s="119"/>
      <c r="V137" s="119"/>
      <c r="W137" s="119"/>
      <c r="X137" s="119"/>
      <c r="Y137" s="119"/>
      <c r="Z137" s="119"/>
      <c r="AA137" s="119"/>
      <c r="AB137" s="119"/>
      <c r="AC137" s="119"/>
      <c r="AD137" s="119"/>
      <c r="AE137" s="119"/>
      <c r="AF137" s="119"/>
      <c r="AG137" s="119"/>
      <c r="AH137" s="119"/>
      <c r="AI137" s="119"/>
      <c r="AJ137" s="119"/>
      <c r="AK137" s="119"/>
      <c r="AL137" s="119"/>
      <c r="AM137" s="119"/>
      <c r="AN137" s="119"/>
      <c r="AO137" s="119"/>
      <c r="AP137" s="119"/>
      <c r="AQ137" s="119"/>
      <c r="AR137" s="119"/>
      <c r="AS137" s="119"/>
      <c r="AT137" s="119"/>
      <c r="AU137" s="119"/>
      <c r="AV137" s="119"/>
      <c r="AW137" s="119"/>
      <c r="AX137" s="119"/>
      <c r="AY137" s="119"/>
      <c r="AZ137" s="119"/>
      <c r="BA137" s="119"/>
      <c r="BB137" s="119"/>
      <c r="BC137" s="119"/>
      <c r="BD137" s="119"/>
      <c r="BE137" s="119"/>
      <c r="BF137" s="119"/>
      <c r="BG137" s="119"/>
      <c r="BH137" s="119"/>
      <c r="BI137" s="119"/>
      <c r="BJ137" s="119"/>
      <c r="BK137" s="119"/>
      <c r="BL137" s="119"/>
      <c r="BM137" s="119"/>
      <c r="BN137" s="119"/>
      <c r="BO137" s="119"/>
      <c r="BP137" s="119"/>
      <c r="BQ137" s="119"/>
      <c r="BR137" s="119"/>
      <c r="BS137" s="119"/>
      <c r="BT137" s="119"/>
      <c r="BU137" s="119"/>
      <c r="BV137" s="119"/>
      <c r="BW137" s="119"/>
      <c r="BX137" s="119"/>
      <c r="BY137" s="119"/>
      <c r="BZ137" s="119"/>
      <c r="CA137" s="119"/>
      <c r="CB137" s="119"/>
      <c r="CC137" s="119"/>
      <c r="CD137" s="119"/>
      <c r="CE137" s="119"/>
      <c r="CF137" s="119"/>
      <c r="CG137" s="119"/>
      <c r="CH137" s="119"/>
      <c r="CI137" s="119"/>
      <c r="CJ137" s="119"/>
      <c r="CK137" s="119"/>
      <c r="CL137" s="119"/>
      <c r="CM137" s="119"/>
      <c r="CN137" s="119"/>
      <c r="CO137" s="119"/>
      <c r="CP137" s="119"/>
      <c r="CQ137" s="119"/>
      <c r="CR137" s="119"/>
      <c r="CS137" s="119"/>
      <c r="CT137" s="119"/>
      <c r="CU137" s="119"/>
      <c r="CV137" s="119"/>
      <c r="CW137" s="119"/>
      <c r="CX137" s="119"/>
      <c r="CY137" s="119"/>
      <c r="CZ137" s="119"/>
      <c r="DA137" s="119"/>
      <c r="DB137" s="119"/>
      <c r="DC137" s="119"/>
      <c r="DD137" s="119"/>
      <c r="DE137" s="119"/>
      <c r="DF137" s="119"/>
      <c r="DG137" s="119"/>
      <c r="DH137" s="119"/>
      <c r="DI137" s="119"/>
      <c r="DJ137" s="119"/>
      <c r="DK137" s="119"/>
      <c r="DL137" s="119"/>
      <c r="DM137" s="119"/>
      <c r="DN137" s="119"/>
      <c r="DO137" s="119"/>
      <c r="DP137" s="119"/>
      <c r="DQ137" s="119"/>
      <c r="DR137" s="119"/>
      <c r="DS137" s="119"/>
      <c r="DT137" s="119"/>
      <c r="DU137" s="119"/>
      <c r="DV137" s="119"/>
      <c r="DW137" s="119"/>
      <c r="DX137" s="119"/>
      <c r="DY137" s="119"/>
      <c r="DZ137" s="119"/>
      <c r="EA137" s="119"/>
      <c r="EB137" s="119"/>
      <c r="EC137" s="119"/>
      <c r="ED137" s="119"/>
      <c r="EE137" s="119"/>
      <c r="EF137" s="119"/>
      <c r="EG137" s="119"/>
      <c r="EH137" s="119"/>
      <c r="EI137" s="119"/>
      <c r="EJ137" s="119"/>
      <c r="EK137" s="119"/>
      <c r="EL137" s="119"/>
      <c r="EM137" s="119"/>
      <c r="EN137" s="119"/>
      <c r="EO137" s="119"/>
      <c r="EP137" s="119"/>
      <c r="EQ137" s="119"/>
      <c r="ER137" s="119"/>
      <c r="ES137" s="119"/>
      <c r="ET137" s="119"/>
      <c r="EU137" s="119"/>
      <c r="EV137" s="119"/>
      <c r="EW137" s="119"/>
      <c r="EX137" s="119"/>
      <c r="EY137" s="119"/>
      <c r="EZ137" s="119"/>
      <c r="FA137" s="119"/>
      <c r="FB137" s="119"/>
      <c r="FC137" s="119"/>
      <c r="FD137" s="119"/>
      <c r="FE137" s="119"/>
      <c r="FF137" s="119"/>
      <c r="FG137" s="119"/>
      <c r="FH137" s="119"/>
      <c r="FI137" s="119"/>
      <c r="FJ137" s="119"/>
      <c r="FK137" s="119"/>
      <c r="FL137" s="119"/>
      <c r="FM137" s="119"/>
      <c r="FN137" s="119"/>
      <c r="FO137" s="119"/>
      <c r="FP137" s="119"/>
      <c r="FQ137" s="119"/>
      <c r="FR137" s="119"/>
      <c r="FS137" s="119"/>
      <c r="FT137" s="119"/>
      <c r="FU137" s="119"/>
      <c r="FV137" s="119"/>
      <c r="FW137" s="119"/>
      <c r="FX137" s="119"/>
      <c r="FY137" s="119"/>
      <c r="FZ137" s="119"/>
      <c r="GA137" s="119"/>
      <c r="GB137" s="119"/>
      <c r="GC137" s="119"/>
      <c r="GD137" s="119"/>
      <c r="GE137" s="119"/>
      <c r="GF137" s="119"/>
      <c r="GG137" s="119"/>
      <c r="GH137" s="119"/>
      <c r="GI137" s="119"/>
      <c r="GJ137" s="119"/>
      <c r="GK137" s="119"/>
      <c r="GL137" s="119"/>
      <c r="GM137" s="119"/>
      <c r="GN137" s="119"/>
      <c r="GO137" s="119"/>
      <c r="GP137" s="119"/>
      <c r="GQ137" s="119"/>
      <c r="GR137" s="119"/>
      <c r="GS137" s="119"/>
      <c r="GT137" s="119"/>
      <c r="GU137" s="119"/>
      <c r="GV137" s="119"/>
      <c r="GW137" s="119"/>
      <c r="GX137" s="119"/>
      <c r="GY137" s="119"/>
      <c r="GZ137" s="119"/>
      <c r="HA137" s="119"/>
      <c r="HB137" s="119"/>
      <c r="HC137" s="119"/>
      <c r="HD137" s="119"/>
      <c r="HE137" s="119"/>
      <c r="HF137" s="119"/>
      <c r="HG137" s="119"/>
      <c r="HH137" s="119"/>
      <c r="HI137" s="119"/>
      <c r="HJ137" s="119"/>
      <c r="HK137" s="119"/>
      <c r="HL137" s="119"/>
      <c r="HM137" s="119"/>
      <c r="HN137" s="119"/>
      <c r="HO137" s="119"/>
      <c r="HP137" s="119"/>
      <c r="HQ137" s="119"/>
      <c r="HR137" s="119"/>
      <c r="HS137" s="119"/>
      <c r="HT137" s="119"/>
      <c r="HU137" s="119"/>
      <c r="HV137" s="119"/>
      <c r="HW137" s="119"/>
      <c r="HX137" s="119"/>
      <c r="HY137" s="119"/>
      <c r="HZ137" s="119"/>
      <c r="IA137" s="119"/>
      <c r="IB137" s="119"/>
      <c r="IC137" s="119"/>
      <c r="ID137" s="119"/>
      <c r="IE137" s="119"/>
      <c r="IF137" s="119"/>
      <c r="IG137" s="119"/>
      <c r="IH137" s="119"/>
      <c r="II137" s="119"/>
      <c r="IJ137" s="119"/>
      <c r="IK137" s="119"/>
      <c r="IL137" s="119"/>
      <c r="IM137" s="119"/>
      <c r="IN137" s="119"/>
      <c r="IO137" s="119"/>
      <c r="IP137" s="119"/>
      <c r="IQ137" s="119"/>
      <c r="IR137" s="119"/>
      <c r="IS137" s="119"/>
      <c r="IT137" s="119"/>
      <c r="IU137" s="119"/>
      <c r="IV137" s="119"/>
      <c r="IW137" s="119"/>
    </row>
    <row r="138" spans="1:257" s="187" customFormat="1" ht="18" customHeight="1" x14ac:dyDescent="0.35">
      <c r="A138" s="195">
        <v>129</v>
      </c>
      <c r="B138" s="692"/>
      <c r="C138" s="120"/>
      <c r="D138" s="1265" t="s">
        <v>656</v>
      </c>
      <c r="E138" s="127"/>
      <c r="F138" s="127"/>
      <c r="G138" s="693"/>
      <c r="H138" s="224"/>
      <c r="I138" s="559"/>
      <c r="J138" s="559"/>
      <c r="K138" s="1282">
        <f>124705+33670</f>
        <v>158375</v>
      </c>
      <c r="L138" s="1282"/>
      <c r="M138" s="1282">
        <f>84720+22874</f>
        <v>107594</v>
      </c>
      <c r="N138" s="559"/>
      <c r="O138" s="1795"/>
      <c r="P138" s="1276">
        <f>SUM(I138:O138)</f>
        <v>265969</v>
      </c>
      <c r="Q138" s="694"/>
      <c r="R138" s="119"/>
      <c r="S138" s="119"/>
      <c r="T138" s="119"/>
      <c r="U138" s="119"/>
      <c r="V138" s="119"/>
      <c r="W138" s="119"/>
      <c r="X138" s="119"/>
      <c r="Y138" s="119"/>
      <c r="Z138" s="119"/>
      <c r="AA138" s="119"/>
      <c r="AB138" s="119"/>
      <c r="AC138" s="119"/>
      <c r="AD138" s="119"/>
      <c r="AE138" s="119"/>
      <c r="AF138" s="119"/>
      <c r="AG138" s="119"/>
      <c r="AH138" s="119"/>
      <c r="AI138" s="119"/>
      <c r="AJ138" s="119"/>
      <c r="AK138" s="119"/>
      <c r="AL138" s="119"/>
      <c r="AM138" s="119"/>
      <c r="AN138" s="119"/>
      <c r="AO138" s="119"/>
      <c r="AP138" s="119"/>
      <c r="AQ138" s="119"/>
      <c r="AR138" s="119"/>
      <c r="AS138" s="119"/>
      <c r="AT138" s="119"/>
      <c r="AU138" s="119"/>
      <c r="AV138" s="119"/>
      <c r="AW138" s="119"/>
      <c r="AX138" s="119"/>
      <c r="AY138" s="119"/>
      <c r="AZ138" s="119"/>
      <c r="BA138" s="119"/>
      <c r="BB138" s="119"/>
      <c r="BC138" s="119"/>
      <c r="BD138" s="119"/>
      <c r="BE138" s="119"/>
      <c r="BF138" s="119"/>
      <c r="BG138" s="119"/>
      <c r="BH138" s="119"/>
      <c r="BI138" s="119"/>
      <c r="BJ138" s="119"/>
      <c r="BK138" s="119"/>
      <c r="BL138" s="119"/>
      <c r="BM138" s="119"/>
      <c r="BN138" s="119"/>
      <c r="BO138" s="119"/>
      <c r="BP138" s="119"/>
      <c r="BQ138" s="119"/>
      <c r="BR138" s="119"/>
      <c r="BS138" s="119"/>
      <c r="BT138" s="119"/>
      <c r="BU138" s="119"/>
      <c r="BV138" s="119"/>
      <c r="BW138" s="119"/>
      <c r="BX138" s="119"/>
      <c r="BY138" s="119"/>
      <c r="BZ138" s="119"/>
      <c r="CA138" s="119"/>
      <c r="CB138" s="119"/>
      <c r="CC138" s="119"/>
      <c r="CD138" s="119"/>
      <c r="CE138" s="119"/>
      <c r="CF138" s="119"/>
      <c r="CG138" s="119"/>
      <c r="CH138" s="119"/>
      <c r="CI138" s="119"/>
      <c r="CJ138" s="119"/>
      <c r="CK138" s="119"/>
      <c r="CL138" s="119"/>
      <c r="CM138" s="119"/>
      <c r="CN138" s="119"/>
      <c r="CO138" s="119"/>
      <c r="CP138" s="119"/>
      <c r="CQ138" s="119"/>
      <c r="CR138" s="119"/>
      <c r="CS138" s="119"/>
      <c r="CT138" s="119"/>
      <c r="CU138" s="119"/>
      <c r="CV138" s="119"/>
      <c r="CW138" s="119"/>
      <c r="CX138" s="119"/>
      <c r="CY138" s="119"/>
      <c r="CZ138" s="119"/>
      <c r="DA138" s="119"/>
      <c r="DB138" s="119"/>
      <c r="DC138" s="119"/>
      <c r="DD138" s="119"/>
      <c r="DE138" s="119"/>
      <c r="DF138" s="119"/>
      <c r="DG138" s="119"/>
      <c r="DH138" s="119"/>
      <c r="DI138" s="119"/>
      <c r="DJ138" s="119"/>
      <c r="DK138" s="119"/>
      <c r="DL138" s="119"/>
      <c r="DM138" s="119"/>
      <c r="DN138" s="119"/>
      <c r="DO138" s="119"/>
      <c r="DP138" s="119"/>
      <c r="DQ138" s="119"/>
      <c r="DR138" s="119"/>
      <c r="DS138" s="119"/>
      <c r="DT138" s="119"/>
      <c r="DU138" s="119"/>
      <c r="DV138" s="119"/>
      <c r="DW138" s="119"/>
      <c r="DX138" s="119"/>
      <c r="DY138" s="119"/>
      <c r="DZ138" s="119"/>
      <c r="EA138" s="119"/>
      <c r="EB138" s="119"/>
      <c r="EC138" s="119"/>
      <c r="ED138" s="119"/>
      <c r="EE138" s="119"/>
      <c r="EF138" s="119"/>
      <c r="EG138" s="119"/>
      <c r="EH138" s="119"/>
      <c r="EI138" s="119"/>
      <c r="EJ138" s="119"/>
      <c r="EK138" s="119"/>
      <c r="EL138" s="119"/>
      <c r="EM138" s="119"/>
      <c r="EN138" s="119"/>
      <c r="EO138" s="119"/>
      <c r="EP138" s="119"/>
      <c r="EQ138" s="119"/>
      <c r="ER138" s="119"/>
      <c r="ES138" s="119"/>
      <c r="ET138" s="119"/>
      <c r="EU138" s="119"/>
      <c r="EV138" s="119"/>
      <c r="EW138" s="119"/>
      <c r="EX138" s="119"/>
      <c r="EY138" s="119"/>
      <c r="EZ138" s="119"/>
      <c r="FA138" s="119"/>
      <c r="FB138" s="119"/>
      <c r="FC138" s="119"/>
      <c r="FD138" s="119"/>
      <c r="FE138" s="119"/>
      <c r="FF138" s="119"/>
      <c r="FG138" s="119"/>
      <c r="FH138" s="119"/>
      <c r="FI138" s="119"/>
      <c r="FJ138" s="119"/>
      <c r="FK138" s="119"/>
      <c r="FL138" s="119"/>
      <c r="FM138" s="119"/>
      <c r="FN138" s="119"/>
      <c r="FO138" s="119"/>
      <c r="FP138" s="119"/>
      <c r="FQ138" s="119"/>
      <c r="FR138" s="119"/>
      <c r="FS138" s="119"/>
      <c r="FT138" s="119"/>
      <c r="FU138" s="119"/>
      <c r="FV138" s="119"/>
      <c r="FW138" s="119"/>
      <c r="FX138" s="119"/>
      <c r="FY138" s="119"/>
      <c r="FZ138" s="119"/>
      <c r="GA138" s="119"/>
      <c r="GB138" s="119"/>
      <c r="GC138" s="119"/>
      <c r="GD138" s="119"/>
      <c r="GE138" s="119"/>
      <c r="GF138" s="119"/>
      <c r="GG138" s="119"/>
      <c r="GH138" s="119"/>
      <c r="GI138" s="119"/>
      <c r="GJ138" s="119"/>
      <c r="GK138" s="119"/>
      <c r="GL138" s="119"/>
      <c r="GM138" s="119"/>
      <c r="GN138" s="119"/>
      <c r="GO138" s="119"/>
      <c r="GP138" s="119"/>
      <c r="GQ138" s="119"/>
      <c r="GR138" s="119"/>
      <c r="GS138" s="119"/>
      <c r="GT138" s="119"/>
      <c r="GU138" s="119"/>
      <c r="GV138" s="119"/>
      <c r="GW138" s="119"/>
      <c r="GX138" s="119"/>
      <c r="GY138" s="119"/>
      <c r="GZ138" s="119"/>
      <c r="HA138" s="119"/>
      <c r="HB138" s="119"/>
      <c r="HC138" s="119"/>
      <c r="HD138" s="119"/>
      <c r="HE138" s="119"/>
      <c r="HF138" s="119"/>
      <c r="HG138" s="119"/>
      <c r="HH138" s="119"/>
      <c r="HI138" s="119"/>
      <c r="HJ138" s="119"/>
      <c r="HK138" s="119"/>
      <c r="HL138" s="119"/>
      <c r="HM138" s="119"/>
      <c r="HN138" s="119"/>
      <c r="HO138" s="119"/>
      <c r="HP138" s="119"/>
      <c r="HQ138" s="119"/>
      <c r="HR138" s="119"/>
      <c r="HS138" s="119"/>
      <c r="HT138" s="119"/>
      <c r="HU138" s="119"/>
      <c r="HV138" s="119"/>
      <c r="HW138" s="119"/>
      <c r="HX138" s="119"/>
      <c r="HY138" s="119"/>
      <c r="HZ138" s="119"/>
      <c r="IA138" s="119"/>
      <c r="IB138" s="119"/>
      <c r="IC138" s="119"/>
      <c r="ID138" s="119"/>
      <c r="IE138" s="119"/>
      <c r="IF138" s="119"/>
      <c r="IG138" s="119"/>
      <c r="IH138" s="119"/>
      <c r="II138" s="119"/>
      <c r="IJ138" s="119"/>
      <c r="IK138" s="119"/>
      <c r="IL138" s="119"/>
      <c r="IM138" s="119"/>
      <c r="IN138" s="119"/>
      <c r="IO138" s="119"/>
      <c r="IP138" s="119"/>
      <c r="IQ138" s="119"/>
      <c r="IR138" s="119"/>
      <c r="IS138" s="119"/>
      <c r="IT138" s="119"/>
      <c r="IU138" s="119"/>
      <c r="IV138" s="119"/>
      <c r="IW138" s="119"/>
    </row>
    <row r="139" spans="1:257" s="187" customFormat="1" ht="18" customHeight="1" x14ac:dyDescent="0.35">
      <c r="A139" s="195">
        <v>130</v>
      </c>
      <c r="B139" s="692"/>
      <c r="C139" s="120"/>
      <c r="D139" s="1268" t="s">
        <v>862</v>
      </c>
      <c r="E139" s="127"/>
      <c r="F139" s="127"/>
      <c r="G139" s="693"/>
      <c r="H139" s="224"/>
      <c r="I139" s="559"/>
      <c r="J139" s="559"/>
      <c r="K139" s="559">
        <f>SUM(K138)</f>
        <v>158375</v>
      </c>
      <c r="L139" s="559"/>
      <c r="M139" s="559">
        <f>SUM(M138)</f>
        <v>107594</v>
      </c>
      <c r="N139" s="559"/>
      <c r="O139" s="1795"/>
      <c r="P139" s="1275">
        <f>SUM(I139:O139)</f>
        <v>265969</v>
      </c>
      <c r="Q139" s="694"/>
      <c r="R139" s="119"/>
      <c r="S139" s="119"/>
      <c r="T139" s="119"/>
      <c r="U139" s="119"/>
      <c r="V139" s="119"/>
      <c r="W139" s="119"/>
      <c r="X139" s="119"/>
      <c r="Y139" s="119"/>
      <c r="Z139" s="119"/>
      <c r="AA139" s="119"/>
      <c r="AB139" s="119"/>
      <c r="AC139" s="119"/>
      <c r="AD139" s="119"/>
      <c r="AE139" s="119"/>
      <c r="AF139" s="119"/>
      <c r="AG139" s="119"/>
      <c r="AH139" s="119"/>
      <c r="AI139" s="119"/>
      <c r="AJ139" s="119"/>
      <c r="AK139" s="119"/>
      <c r="AL139" s="119"/>
      <c r="AM139" s="119"/>
      <c r="AN139" s="119"/>
      <c r="AO139" s="119"/>
      <c r="AP139" s="119"/>
      <c r="AQ139" s="119"/>
      <c r="AR139" s="119"/>
      <c r="AS139" s="119"/>
      <c r="AT139" s="119"/>
      <c r="AU139" s="119"/>
      <c r="AV139" s="119"/>
      <c r="AW139" s="119"/>
      <c r="AX139" s="119"/>
      <c r="AY139" s="119"/>
      <c r="AZ139" s="119"/>
      <c r="BA139" s="119"/>
      <c r="BB139" s="119"/>
      <c r="BC139" s="119"/>
      <c r="BD139" s="119"/>
      <c r="BE139" s="119"/>
      <c r="BF139" s="119"/>
      <c r="BG139" s="119"/>
      <c r="BH139" s="119"/>
      <c r="BI139" s="119"/>
      <c r="BJ139" s="119"/>
      <c r="BK139" s="119"/>
      <c r="BL139" s="119"/>
      <c r="BM139" s="119"/>
      <c r="BN139" s="119"/>
      <c r="BO139" s="119"/>
      <c r="BP139" s="119"/>
      <c r="BQ139" s="119"/>
      <c r="BR139" s="119"/>
      <c r="BS139" s="119"/>
      <c r="BT139" s="119"/>
      <c r="BU139" s="119"/>
      <c r="BV139" s="119"/>
      <c r="BW139" s="119"/>
      <c r="BX139" s="119"/>
      <c r="BY139" s="119"/>
      <c r="BZ139" s="119"/>
      <c r="CA139" s="119"/>
      <c r="CB139" s="119"/>
      <c r="CC139" s="119"/>
      <c r="CD139" s="119"/>
      <c r="CE139" s="119"/>
      <c r="CF139" s="119"/>
      <c r="CG139" s="119"/>
      <c r="CH139" s="119"/>
      <c r="CI139" s="119"/>
      <c r="CJ139" s="119"/>
      <c r="CK139" s="119"/>
      <c r="CL139" s="119"/>
      <c r="CM139" s="119"/>
      <c r="CN139" s="119"/>
      <c r="CO139" s="119"/>
      <c r="CP139" s="119"/>
      <c r="CQ139" s="119"/>
      <c r="CR139" s="119"/>
      <c r="CS139" s="119"/>
      <c r="CT139" s="119"/>
      <c r="CU139" s="119"/>
      <c r="CV139" s="119"/>
      <c r="CW139" s="119"/>
      <c r="CX139" s="119"/>
      <c r="CY139" s="119"/>
      <c r="CZ139" s="119"/>
      <c r="DA139" s="119"/>
      <c r="DB139" s="119"/>
      <c r="DC139" s="119"/>
      <c r="DD139" s="119"/>
      <c r="DE139" s="119"/>
      <c r="DF139" s="119"/>
      <c r="DG139" s="119"/>
      <c r="DH139" s="119"/>
      <c r="DI139" s="119"/>
      <c r="DJ139" s="119"/>
      <c r="DK139" s="119"/>
      <c r="DL139" s="119"/>
      <c r="DM139" s="119"/>
      <c r="DN139" s="119"/>
      <c r="DO139" s="119"/>
      <c r="DP139" s="119"/>
      <c r="DQ139" s="119"/>
      <c r="DR139" s="119"/>
      <c r="DS139" s="119"/>
      <c r="DT139" s="119"/>
      <c r="DU139" s="119"/>
      <c r="DV139" s="119"/>
      <c r="DW139" s="119"/>
      <c r="DX139" s="119"/>
      <c r="DY139" s="119"/>
      <c r="DZ139" s="119"/>
      <c r="EA139" s="119"/>
      <c r="EB139" s="119"/>
      <c r="EC139" s="119"/>
      <c r="ED139" s="119"/>
      <c r="EE139" s="119"/>
      <c r="EF139" s="119"/>
      <c r="EG139" s="119"/>
      <c r="EH139" s="119"/>
      <c r="EI139" s="119"/>
      <c r="EJ139" s="119"/>
      <c r="EK139" s="119"/>
      <c r="EL139" s="119"/>
      <c r="EM139" s="119"/>
      <c r="EN139" s="119"/>
      <c r="EO139" s="119"/>
      <c r="EP139" s="119"/>
      <c r="EQ139" s="119"/>
      <c r="ER139" s="119"/>
      <c r="ES139" s="119"/>
      <c r="ET139" s="119"/>
      <c r="EU139" s="119"/>
      <c r="EV139" s="119"/>
      <c r="EW139" s="119"/>
      <c r="EX139" s="119"/>
      <c r="EY139" s="119"/>
      <c r="EZ139" s="119"/>
      <c r="FA139" s="119"/>
      <c r="FB139" s="119"/>
      <c r="FC139" s="119"/>
      <c r="FD139" s="119"/>
      <c r="FE139" s="119"/>
      <c r="FF139" s="119"/>
      <c r="FG139" s="119"/>
      <c r="FH139" s="119"/>
      <c r="FI139" s="119"/>
      <c r="FJ139" s="119"/>
      <c r="FK139" s="119"/>
      <c r="FL139" s="119"/>
      <c r="FM139" s="119"/>
      <c r="FN139" s="119"/>
      <c r="FO139" s="119"/>
      <c r="FP139" s="119"/>
      <c r="FQ139" s="119"/>
      <c r="FR139" s="119"/>
      <c r="FS139" s="119"/>
      <c r="FT139" s="119"/>
      <c r="FU139" s="119"/>
      <c r="FV139" s="119"/>
      <c r="FW139" s="119"/>
      <c r="FX139" s="119"/>
      <c r="FY139" s="119"/>
      <c r="FZ139" s="119"/>
      <c r="GA139" s="119"/>
      <c r="GB139" s="119"/>
      <c r="GC139" s="119"/>
      <c r="GD139" s="119"/>
      <c r="GE139" s="119"/>
      <c r="GF139" s="119"/>
      <c r="GG139" s="119"/>
      <c r="GH139" s="119"/>
      <c r="GI139" s="119"/>
      <c r="GJ139" s="119"/>
      <c r="GK139" s="119"/>
      <c r="GL139" s="119"/>
      <c r="GM139" s="119"/>
      <c r="GN139" s="119"/>
      <c r="GO139" s="119"/>
      <c r="GP139" s="119"/>
      <c r="GQ139" s="119"/>
      <c r="GR139" s="119"/>
      <c r="GS139" s="119"/>
      <c r="GT139" s="119"/>
      <c r="GU139" s="119"/>
      <c r="GV139" s="119"/>
      <c r="GW139" s="119"/>
      <c r="GX139" s="119"/>
      <c r="GY139" s="119"/>
      <c r="GZ139" s="119"/>
      <c r="HA139" s="119"/>
      <c r="HB139" s="119"/>
      <c r="HC139" s="119"/>
      <c r="HD139" s="119"/>
      <c r="HE139" s="119"/>
      <c r="HF139" s="119"/>
      <c r="HG139" s="119"/>
      <c r="HH139" s="119"/>
      <c r="HI139" s="119"/>
      <c r="HJ139" s="119"/>
      <c r="HK139" s="119"/>
      <c r="HL139" s="119"/>
      <c r="HM139" s="119"/>
      <c r="HN139" s="119"/>
      <c r="HO139" s="119"/>
      <c r="HP139" s="119"/>
      <c r="HQ139" s="119"/>
      <c r="HR139" s="119"/>
      <c r="HS139" s="119"/>
      <c r="HT139" s="119"/>
      <c r="HU139" s="119"/>
      <c r="HV139" s="119"/>
      <c r="HW139" s="119"/>
      <c r="HX139" s="119"/>
      <c r="HY139" s="119"/>
      <c r="HZ139" s="119"/>
      <c r="IA139" s="119"/>
      <c r="IB139" s="119"/>
      <c r="IC139" s="119"/>
      <c r="ID139" s="119"/>
      <c r="IE139" s="119"/>
      <c r="IF139" s="119"/>
      <c r="IG139" s="119"/>
      <c r="IH139" s="119"/>
      <c r="II139" s="119"/>
      <c r="IJ139" s="119"/>
      <c r="IK139" s="119"/>
      <c r="IL139" s="119"/>
      <c r="IM139" s="119"/>
      <c r="IN139" s="119"/>
      <c r="IO139" s="119"/>
      <c r="IP139" s="119"/>
      <c r="IQ139" s="119"/>
      <c r="IR139" s="119"/>
      <c r="IS139" s="119"/>
      <c r="IT139" s="119"/>
      <c r="IU139" s="119"/>
      <c r="IV139" s="119"/>
      <c r="IW139" s="119"/>
    </row>
    <row r="140" spans="1:257" s="187" customFormat="1" ht="54.75" customHeight="1" x14ac:dyDescent="0.35">
      <c r="A140" s="195">
        <v>131</v>
      </c>
      <c r="B140" s="692"/>
      <c r="C140" s="120">
        <v>45</v>
      </c>
      <c r="D140" s="1493" t="s">
        <v>1020</v>
      </c>
      <c r="E140" s="127">
        <f>F140+G140+P142</f>
        <v>688012</v>
      </c>
      <c r="F140" s="127"/>
      <c r="G140" s="693"/>
      <c r="H140" s="224" t="s">
        <v>24</v>
      </c>
      <c r="I140" s="559"/>
      <c r="J140" s="559"/>
      <c r="K140" s="559"/>
      <c r="L140" s="559"/>
      <c r="M140" s="559"/>
      <c r="N140" s="559"/>
      <c r="O140" s="1795"/>
      <c r="P140" s="1275"/>
      <c r="Q140" s="694"/>
      <c r="R140" s="119"/>
      <c r="S140" s="119"/>
      <c r="T140" s="119"/>
      <c r="U140" s="119"/>
      <c r="V140" s="119"/>
      <c r="W140" s="119"/>
      <c r="X140" s="119"/>
      <c r="Y140" s="119"/>
      <c r="Z140" s="119"/>
      <c r="AA140" s="119"/>
      <c r="AB140" s="119"/>
      <c r="AC140" s="119"/>
      <c r="AD140" s="119"/>
      <c r="AE140" s="119"/>
      <c r="AF140" s="119"/>
      <c r="AG140" s="119"/>
      <c r="AH140" s="119"/>
      <c r="AI140" s="119"/>
      <c r="AJ140" s="119"/>
      <c r="AK140" s="119"/>
      <c r="AL140" s="119"/>
      <c r="AM140" s="119"/>
      <c r="AN140" s="119"/>
      <c r="AO140" s="119"/>
      <c r="AP140" s="119"/>
      <c r="AQ140" s="119"/>
      <c r="AR140" s="119"/>
      <c r="AS140" s="119"/>
      <c r="AT140" s="119"/>
      <c r="AU140" s="119"/>
      <c r="AV140" s="119"/>
      <c r="AW140" s="119"/>
      <c r="AX140" s="119"/>
      <c r="AY140" s="119"/>
      <c r="AZ140" s="119"/>
      <c r="BA140" s="119"/>
      <c r="BB140" s="119"/>
      <c r="BC140" s="119"/>
      <c r="BD140" s="119"/>
      <c r="BE140" s="119"/>
      <c r="BF140" s="119"/>
      <c r="BG140" s="119"/>
      <c r="BH140" s="119"/>
      <c r="BI140" s="119"/>
      <c r="BJ140" s="119"/>
      <c r="BK140" s="119"/>
      <c r="BL140" s="119"/>
      <c r="BM140" s="119"/>
      <c r="BN140" s="119"/>
      <c r="BO140" s="119"/>
      <c r="BP140" s="119"/>
      <c r="BQ140" s="119"/>
      <c r="BR140" s="119"/>
      <c r="BS140" s="119"/>
      <c r="BT140" s="119"/>
      <c r="BU140" s="119"/>
      <c r="BV140" s="119"/>
      <c r="BW140" s="119"/>
      <c r="BX140" s="119"/>
      <c r="BY140" s="119"/>
      <c r="BZ140" s="119"/>
      <c r="CA140" s="119"/>
      <c r="CB140" s="119"/>
      <c r="CC140" s="119"/>
      <c r="CD140" s="119"/>
      <c r="CE140" s="119"/>
      <c r="CF140" s="119"/>
      <c r="CG140" s="119"/>
      <c r="CH140" s="119"/>
      <c r="CI140" s="119"/>
      <c r="CJ140" s="119"/>
      <c r="CK140" s="119"/>
      <c r="CL140" s="119"/>
      <c r="CM140" s="119"/>
      <c r="CN140" s="119"/>
      <c r="CO140" s="119"/>
      <c r="CP140" s="119"/>
      <c r="CQ140" s="119"/>
      <c r="CR140" s="119"/>
      <c r="CS140" s="119"/>
      <c r="CT140" s="119"/>
      <c r="CU140" s="119"/>
      <c r="CV140" s="119"/>
      <c r="CW140" s="119"/>
      <c r="CX140" s="119"/>
      <c r="CY140" s="119"/>
      <c r="CZ140" s="119"/>
      <c r="DA140" s="119"/>
      <c r="DB140" s="119"/>
      <c r="DC140" s="119"/>
      <c r="DD140" s="119"/>
      <c r="DE140" s="119"/>
      <c r="DF140" s="119"/>
      <c r="DG140" s="119"/>
      <c r="DH140" s="119"/>
      <c r="DI140" s="119"/>
      <c r="DJ140" s="119"/>
      <c r="DK140" s="119"/>
      <c r="DL140" s="119"/>
      <c r="DM140" s="119"/>
      <c r="DN140" s="119"/>
      <c r="DO140" s="119"/>
      <c r="DP140" s="119"/>
      <c r="DQ140" s="119"/>
      <c r="DR140" s="119"/>
      <c r="DS140" s="119"/>
      <c r="DT140" s="119"/>
      <c r="DU140" s="119"/>
      <c r="DV140" s="119"/>
      <c r="DW140" s="119"/>
      <c r="DX140" s="119"/>
      <c r="DY140" s="119"/>
      <c r="DZ140" s="119"/>
      <c r="EA140" s="119"/>
      <c r="EB140" s="119"/>
      <c r="EC140" s="119"/>
      <c r="ED140" s="119"/>
      <c r="EE140" s="119"/>
      <c r="EF140" s="119"/>
      <c r="EG140" s="119"/>
      <c r="EH140" s="119"/>
      <c r="EI140" s="119"/>
      <c r="EJ140" s="119"/>
      <c r="EK140" s="119"/>
      <c r="EL140" s="119"/>
      <c r="EM140" s="119"/>
      <c r="EN140" s="119"/>
      <c r="EO140" s="119"/>
      <c r="EP140" s="119"/>
      <c r="EQ140" s="119"/>
      <c r="ER140" s="119"/>
      <c r="ES140" s="119"/>
      <c r="ET140" s="119"/>
      <c r="EU140" s="119"/>
      <c r="EV140" s="119"/>
      <c r="EW140" s="119"/>
      <c r="EX140" s="119"/>
      <c r="EY140" s="119"/>
      <c r="EZ140" s="119"/>
      <c r="FA140" s="119"/>
      <c r="FB140" s="119"/>
      <c r="FC140" s="119"/>
      <c r="FD140" s="119"/>
      <c r="FE140" s="119"/>
      <c r="FF140" s="119"/>
      <c r="FG140" s="119"/>
      <c r="FH140" s="119"/>
      <c r="FI140" s="119"/>
      <c r="FJ140" s="119"/>
      <c r="FK140" s="119"/>
      <c r="FL140" s="119"/>
      <c r="FM140" s="119"/>
      <c r="FN140" s="119"/>
      <c r="FO140" s="119"/>
      <c r="FP140" s="119"/>
      <c r="FQ140" s="119"/>
      <c r="FR140" s="119"/>
      <c r="FS140" s="119"/>
      <c r="FT140" s="119"/>
      <c r="FU140" s="119"/>
      <c r="FV140" s="119"/>
      <c r="FW140" s="119"/>
      <c r="FX140" s="119"/>
      <c r="FY140" s="119"/>
      <c r="FZ140" s="119"/>
      <c r="GA140" s="119"/>
      <c r="GB140" s="119"/>
      <c r="GC140" s="119"/>
      <c r="GD140" s="119"/>
      <c r="GE140" s="119"/>
      <c r="GF140" s="119"/>
      <c r="GG140" s="119"/>
      <c r="GH140" s="119"/>
      <c r="GI140" s="119"/>
      <c r="GJ140" s="119"/>
      <c r="GK140" s="119"/>
      <c r="GL140" s="119"/>
      <c r="GM140" s="119"/>
      <c r="GN140" s="119"/>
      <c r="GO140" s="119"/>
      <c r="GP140" s="119"/>
      <c r="GQ140" s="119"/>
      <c r="GR140" s="119"/>
      <c r="GS140" s="119"/>
      <c r="GT140" s="119"/>
      <c r="GU140" s="119"/>
      <c r="GV140" s="119"/>
      <c r="GW140" s="119"/>
      <c r="GX140" s="119"/>
      <c r="GY140" s="119"/>
      <c r="GZ140" s="119"/>
      <c r="HA140" s="119"/>
      <c r="HB140" s="119"/>
      <c r="HC140" s="119"/>
      <c r="HD140" s="119"/>
      <c r="HE140" s="119"/>
      <c r="HF140" s="119"/>
      <c r="HG140" s="119"/>
      <c r="HH140" s="119"/>
      <c r="HI140" s="119"/>
      <c r="HJ140" s="119"/>
      <c r="HK140" s="119"/>
      <c r="HL140" s="119"/>
      <c r="HM140" s="119"/>
      <c r="HN140" s="119"/>
      <c r="HO140" s="119"/>
      <c r="HP140" s="119"/>
      <c r="HQ140" s="119"/>
      <c r="HR140" s="119"/>
      <c r="HS140" s="119"/>
      <c r="HT140" s="119"/>
      <c r="HU140" s="119"/>
      <c r="HV140" s="119"/>
      <c r="HW140" s="119"/>
      <c r="HX140" s="119"/>
      <c r="HY140" s="119"/>
      <c r="HZ140" s="119"/>
      <c r="IA140" s="119"/>
      <c r="IB140" s="119"/>
      <c r="IC140" s="119"/>
      <c r="ID140" s="119"/>
      <c r="IE140" s="119"/>
      <c r="IF140" s="119"/>
      <c r="IG140" s="119"/>
      <c r="IH140" s="119"/>
      <c r="II140" s="119"/>
      <c r="IJ140" s="119"/>
      <c r="IK140" s="119"/>
      <c r="IL140" s="119"/>
      <c r="IM140" s="119"/>
      <c r="IN140" s="119"/>
      <c r="IO140" s="119"/>
      <c r="IP140" s="119"/>
      <c r="IQ140" s="119"/>
      <c r="IR140" s="119"/>
      <c r="IS140" s="119"/>
      <c r="IT140" s="119"/>
      <c r="IU140" s="119"/>
      <c r="IV140" s="119"/>
      <c r="IW140" s="119"/>
    </row>
    <row r="141" spans="1:257" s="187" customFormat="1" ht="18" customHeight="1" x14ac:dyDescent="0.35">
      <c r="A141" s="195">
        <v>132</v>
      </c>
      <c r="B141" s="692"/>
      <c r="C141" s="120"/>
      <c r="D141" s="1265" t="s">
        <v>656</v>
      </c>
      <c r="E141" s="127"/>
      <c r="F141" s="127"/>
      <c r="G141" s="693"/>
      <c r="H141" s="224"/>
      <c r="I141" s="559"/>
      <c r="J141" s="559"/>
      <c r="K141" s="1282">
        <v>500</v>
      </c>
      <c r="L141" s="1282"/>
      <c r="M141" s="1282">
        <v>687512</v>
      </c>
      <c r="N141" s="559"/>
      <c r="O141" s="1795"/>
      <c r="P141" s="1276">
        <f>SUM(I141:O141)</f>
        <v>688012</v>
      </c>
      <c r="Q141" s="694"/>
      <c r="R141" s="119"/>
      <c r="S141" s="119"/>
      <c r="T141" s="119"/>
      <c r="U141" s="119"/>
      <c r="V141" s="119"/>
      <c r="W141" s="119"/>
      <c r="X141" s="119"/>
      <c r="Y141" s="119"/>
      <c r="Z141" s="119"/>
      <c r="AA141" s="119"/>
      <c r="AB141" s="119"/>
      <c r="AC141" s="119"/>
      <c r="AD141" s="119"/>
      <c r="AE141" s="119"/>
      <c r="AF141" s="119"/>
      <c r="AG141" s="119"/>
      <c r="AH141" s="119"/>
      <c r="AI141" s="119"/>
      <c r="AJ141" s="119"/>
      <c r="AK141" s="119"/>
      <c r="AL141" s="119"/>
      <c r="AM141" s="119"/>
      <c r="AN141" s="119"/>
      <c r="AO141" s="119"/>
      <c r="AP141" s="119"/>
      <c r="AQ141" s="119"/>
      <c r="AR141" s="119"/>
      <c r="AS141" s="119"/>
      <c r="AT141" s="119"/>
      <c r="AU141" s="119"/>
      <c r="AV141" s="119"/>
      <c r="AW141" s="119"/>
      <c r="AX141" s="119"/>
      <c r="AY141" s="119"/>
      <c r="AZ141" s="119"/>
      <c r="BA141" s="119"/>
      <c r="BB141" s="119"/>
      <c r="BC141" s="119"/>
      <c r="BD141" s="119"/>
      <c r="BE141" s="119"/>
      <c r="BF141" s="119"/>
      <c r="BG141" s="119"/>
      <c r="BH141" s="119"/>
      <c r="BI141" s="119"/>
      <c r="BJ141" s="119"/>
      <c r="BK141" s="119"/>
      <c r="BL141" s="119"/>
      <c r="BM141" s="119"/>
      <c r="BN141" s="119"/>
      <c r="BO141" s="119"/>
      <c r="BP141" s="119"/>
      <c r="BQ141" s="119"/>
      <c r="BR141" s="119"/>
      <c r="BS141" s="119"/>
      <c r="BT141" s="119"/>
      <c r="BU141" s="119"/>
      <c r="BV141" s="119"/>
      <c r="BW141" s="119"/>
      <c r="BX141" s="119"/>
      <c r="BY141" s="119"/>
      <c r="BZ141" s="119"/>
      <c r="CA141" s="119"/>
      <c r="CB141" s="119"/>
      <c r="CC141" s="119"/>
      <c r="CD141" s="119"/>
      <c r="CE141" s="119"/>
      <c r="CF141" s="119"/>
      <c r="CG141" s="119"/>
      <c r="CH141" s="119"/>
      <c r="CI141" s="119"/>
      <c r="CJ141" s="119"/>
      <c r="CK141" s="119"/>
      <c r="CL141" s="119"/>
      <c r="CM141" s="119"/>
      <c r="CN141" s="119"/>
      <c r="CO141" s="119"/>
      <c r="CP141" s="119"/>
      <c r="CQ141" s="119"/>
      <c r="CR141" s="119"/>
      <c r="CS141" s="119"/>
      <c r="CT141" s="119"/>
      <c r="CU141" s="119"/>
      <c r="CV141" s="119"/>
      <c r="CW141" s="119"/>
      <c r="CX141" s="119"/>
      <c r="CY141" s="119"/>
      <c r="CZ141" s="119"/>
      <c r="DA141" s="119"/>
      <c r="DB141" s="119"/>
      <c r="DC141" s="119"/>
      <c r="DD141" s="119"/>
      <c r="DE141" s="119"/>
      <c r="DF141" s="119"/>
      <c r="DG141" s="119"/>
      <c r="DH141" s="119"/>
      <c r="DI141" s="119"/>
      <c r="DJ141" s="119"/>
      <c r="DK141" s="119"/>
      <c r="DL141" s="119"/>
      <c r="DM141" s="119"/>
      <c r="DN141" s="119"/>
      <c r="DO141" s="119"/>
      <c r="DP141" s="119"/>
      <c r="DQ141" s="119"/>
      <c r="DR141" s="119"/>
      <c r="DS141" s="119"/>
      <c r="DT141" s="119"/>
      <c r="DU141" s="119"/>
      <c r="DV141" s="119"/>
      <c r="DW141" s="119"/>
      <c r="DX141" s="119"/>
      <c r="DY141" s="119"/>
      <c r="DZ141" s="119"/>
      <c r="EA141" s="119"/>
      <c r="EB141" s="119"/>
      <c r="EC141" s="119"/>
      <c r="ED141" s="119"/>
      <c r="EE141" s="119"/>
      <c r="EF141" s="119"/>
      <c r="EG141" s="119"/>
      <c r="EH141" s="119"/>
      <c r="EI141" s="119"/>
      <c r="EJ141" s="119"/>
      <c r="EK141" s="119"/>
      <c r="EL141" s="119"/>
      <c r="EM141" s="119"/>
      <c r="EN141" s="119"/>
      <c r="EO141" s="119"/>
      <c r="EP141" s="119"/>
      <c r="EQ141" s="119"/>
      <c r="ER141" s="119"/>
      <c r="ES141" s="119"/>
      <c r="ET141" s="119"/>
      <c r="EU141" s="119"/>
      <c r="EV141" s="119"/>
      <c r="EW141" s="119"/>
      <c r="EX141" s="119"/>
      <c r="EY141" s="119"/>
      <c r="EZ141" s="119"/>
      <c r="FA141" s="119"/>
      <c r="FB141" s="119"/>
      <c r="FC141" s="119"/>
      <c r="FD141" s="119"/>
      <c r="FE141" s="119"/>
      <c r="FF141" s="119"/>
      <c r="FG141" s="119"/>
      <c r="FH141" s="119"/>
      <c r="FI141" s="119"/>
      <c r="FJ141" s="119"/>
      <c r="FK141" s="119"/>
      <c r="FL141" s="119"/>
      <c r="FM141" s="119"/>
      <c r="FN141" s="119"/>
      <c r="FO141" s="119"/>
      <c r="FP141" s="119"/>
      <c r="FQ141" s="119"/>
      <c r="FR141" s="119"/>
      <c r="FS141" s="119"/>
      <c r="FT141" s="119"/>
      <c r="FU141" s="119"/>
      <c r="FV141" s="119"/>
      <c r="FW141" s="119"/>
      <c r="FX141" s="119"/>
      <c r="FY141" s="119"/>
      <c r="FZ141" s="119"/>
      <c r="GA141" s="119"/>
      <c r="GB141" s="119"/>
      <c r="GC141" s="119"/>
      <c r="GD141" s="119"/>
      <c r="GE141" s="119"/>
      <c r="GF141" s="119"/>
      <c r="GG141" s="119"/>
      <c r="GH141" s="119"/>
      <c r="GI141" s="119"/>
      <c r="GJ141" s="119"/>
      <c r="GK141" s="119"/>
      <c r="GL141" s="119"/>
      <c r="GM141" s="119"/>
      <c r="GN141" s="119"/>
      <c r="GO141" s="119"/>
      <c r="GP141" s="119"/>
      <c r="GQ141" s="119"/>
      <c r="GR141" s="119"/>
      <c r="GS141" s="119"/>
      <c r="GT141" s="119"/>
      <c r="GU141" s="119"/>
      <c r="GV141" s="119"/>
      <c r="GW141" s="119"/>
      <c r="GX141" s="119"/>
      <c r="GY141" s="119"/>
      <c r="GZ141" s="119"/>
      <c r="HA141" s="119"/>
      <c r="HB141" s="119"/>
      <c r="HC141" s="119"/>
      <c r="HD141" s="119"/>
      <c r="HE141" s="119"/>
      <c r="HF141" s="119"/>
      <c r="HG141" s="119"/>
      <c r="HH141" s="119"/>
      <c r="HI141" s="119"/>
      <c r="HJ141" s="119"/>
      <c r="HK141" s="119"/>
      <c r="HL141" s="119"/>
      <c r="HM141" s="119"/>
      <c r="HN141" s="119"/>
      <c r="HO141" s="119"/>
      <c r="HP141" s="119"/>
      <c r="HQ141" s="119"/>
      <c r="HR141" s="119"/>
      <c r="HS141" s="119"/>
      <c r="HT141" s="119"/>
      <c r="HU141" s="119"/>
      <c r="HV141" s="119"/>
      <c r="HW141" s="119"/>
      <c r="HX141" s="119"/>
      <c r="HY141" s="119"/>
      <c r="HZ141" s="119"/>
      <c r="IA141" s="119"/>
      <c r="IB141" s="119"/>
      <c r="IC141" s="119"/>
      <c r="ID141" s="119"/>
      <c r="IE141" s="119"/>
      <c r="IF141" s="119"/>
      <c r="IG141" s="119"/>
      <c r="IH141" s="119"/>
      <c r="II141" s="119"/>
      <c r="IJ141" s="119"/>
      <c r="IK141" s="119"/>
      <c r="IL141" s="119"/>
      <c r="IM141" s="119"/>
      <c r="IN141" s="119"/>
      <c r="IO141" s="119"/>
      <c r="IP141" s="119"/>
      <c r="IQ141" s="119"/>
      <c r="IR141" s="119"/>
      <c r="IS141" s="119"/>
      <c r="IT141" s="119"/>
      <c r="IU141" s="119"/>
      <c r="IV141" s="119"/>
      <c r="IW141" s="119"/>
    </row>
    <row r="142" spans="1:257" s="187" customFormat="1" ht="18" customHeight="1" x14ac:dyDescent="0.35">
      <c r="A142" s="195">
        <v>133</v>
      </c>
      <c r="B142" s="692"/>
      <c r="C142" s="120"/>
      <c r="D142" s="1268" t="s">
        <v>862</v>
      </c>
      <c r="E142" s="127"/>
      <c r="F142" s="127"/>
      <c r="G142" s="693"/>
      <c r="H142" s="224"/>
      <c r="I142" s="559"/>
      <c r="J142" s="559"/>
      <c r="K142" s="559">
        <f>SUM(K141)</f>
        <v>500</v>
      </c>
      <c r="L142" s="559"/>
      <c r="M142" s="559">
        <f t="shared" ref="M142" si="35">SUM(M141)</f>
        <v>687512</v>
      </c>
      <c r="N142" s="559"/>
      <c r="O142" s="1795"/>
      <c r="P142" s="1275">
        <f>SUM(I142:O142)</f>
        <v>688012</v>
      </c>
      <c r="Q142" s="694"/>
      <c r="R142" s="119"/>
      <c r="S142" s="119"/>
      <c r="T142" s="119"/>
      <c r="U142" s="119"/>
      <c r="V142" s="119"/>
      <c r="W142" s="119"/>
      <c r="X142" s="119"/>
      <c r="Y142" s="119"/>
      <c r="Z142" s="119"/>
      <c r="AA142" s="119"/>
      <c r="AB142" s="119"/>
      <c r="AC142" s="119"/>
      <c r="AD142" s="119"/>
      <c r="AE142" s="119"/>
      <c r="AF142" s="119"/>
      <c r="AG142" s="119"/>
      <c r="AH142" s="119"/>
      <c r="AI142" s="119"/>
      <c r="AJ142" s="119"/>
      <c r="AK142" s="119"/>
      <c r="AL142" s="119"/>
      <c r="AM142" s="119"/>
      <c r="AN142" s="119"/>
      <c r="AO142" s="119"/>
      <c r="AP142" s="119"/>
      <c r="AQ142" s="119"/>
      <c r="AR142" s="119"/>
      <c r="AS142" s="119"/>
      <c r="AT142" s="119"/>
      <c r="AU142" s="119"/>
      <c r="AV142" s="119"/>
      <c r="AW142" s="119"/>
      <c r="AX142" s="119"/>
      <c r="AY142" s="119"/>
      <c r="AZ142" s="119"/>
      <c r="BA142" s="119"/>
      <c r="BB142" s="119"/>
      <c r="BC142" s="119"/>
      <c r="BD142" s="119"/>
      <c r="BE142" s="119"/>
      <c r="BF142" s="119"/>
      <c r="BG142" s="119"/>
      <c r="BH142" s="119"/>
      <c r="BI142" s="119"/>
      <c r="BJ142" s="119"/>
      <c r="BK142" s="119"/>
      <c r="BL142" s="119"/>
      <c r="BM142" s="119"/>
      <c r="BN142" s="119"/>
      <c r="BO142" s="119"/>
      <c r="BP142" s="119"/>
      <c r="BQ142" s="119"/>
      <c r="BR142" s="119"/>
      <c r="BS142" s="119"/>
      <c r="BT142" s="119"/>
      <c r="BU142" s="119"/>
      <c r="BV142" s="119"/>
      <c r="BW142" s="119"/>
      <c r="BX142" s="119"/>
      <c r="BY142" s="119"/>
      <c r="BZ142" s="119"/>
      <c r="CA142" s="119"/>
      <c r="CB142" s="119"/>
      <c r="CC142" s="119"/>
      <c r="CD142" s="119"/>
      <c r="CE142" s="119"/>
      <c r="CF142" s="119"/>
      <c r="CG142" s="119"/>
      <c r="CH142" s="119"/>
      <c r="CI142" s="119"/>
      <c r="CJ142" s="119"/>
      <c r="CK142" s="119"/>
      <c r="CL142" s="119"/>
      <c r="CM142" s="119"/>
      <c r="CN142" s="119"/>
      <c r="CO142" s="119"/>
      <c r="CP142" s="119"/>
      <c r="CQ142" s="119"/>
      <c r="CR142" s="119"/>
      <c r="CS142" s="119"/>
      <c r="CT142" s="119"/>
      <c r="CU142" s="119"/>
      <c r="CV142" s="119"/>
      <c r="CW142" s="119"/>
      <c r="CX142" s="119"/>
      <c r="CY142" s="119"/>
      <c r="CZ142" s="119"/>
      <c r="DA142" s="119"/>
      <c r="DB142" s="119"/>
      <c r="DC142" s="119"/>
      <c r="DD142" s="119"/>
      <c r="DE142" s="119"/>
      <c r="DF142" s="119"/>
      <c r="DG142" s="119"/>
      <c r="DH142" s="119"/>
      <c r="DI142" s="119"/>
      <c r="DJ142" s="119"/>
      <c r="DK142" s="119"/>
      <c r="DL142" s="119"/>
      <c r="DM142" s="119"/>
      <c r="DN142" s="119"/>
      <c r="DO142" s="119"/>
      <c r="DP142" s="119"/>
      <c r="DQ142" s="119"/>
      <c r="DR142" s="119"/>
      <c r="DS142" s="119"/>
      <c r="DT142" s="119"/>
      <c r="DU142" s="119"/>
      <c r="DV142" s="119"/>
      <c r="DW142" s="119"/>
      <c r="DX142" s="119"/>
      <c r="DY142" s="119"/>
      <c r="DZ142" s="119"/>
      <c r="EA142" s="119"/>
      <c r="EB142" s="119"/>
      <c r="EC142" s="119"/>
      <c r="ED142" s="119"/>
      <c r="EE142" s="119"/>
      <c r="EF142" s="119"/>
      <c r="EG142" s="119"/>
      <c r="EH142" s="119"/>
      <c r="EI142" s="119"/>
      <c r="EJ142" s="119"/>
      <c r="EK142" s="119"/>
      <c r="EL142" s="119"/>
      <c r="EM142" s="119"/>
      <c r="EN142" s="119"/>
      <c r="EO142" s="119"/>
      <c r="EP142" s="119"/>
      <c r="EQ142" s="119"/>
      <c r="ER142" s="119"/>
      <c r="ES142" s="119"/>
      <c r="ET142" s="119"/>
      <c r="EU142" s="119"/>
      <c r="EV142" s="119"/>
      <c r="EW142" s="119"/>
      <c r="EX142" s="119"/>
      <c r="EY142" s="119"/>
      <c r="EZ142" s="119"/>
      <c r="FA142" s="119"/>
      <c r="FB142" s="119"/>
      <c r="FC142" s="119"/>
      <c r="FD142" s="119"/>
      <c r="FE142" s="119"/>
      <c r="FF142" s="119"/>
      <c r="FG142" s="119"/>
      <c r="FH142" s="119"/>
      <c r="FI142" s="119"/>
      <c r="FJ142" s="119"/>
      <c r="FK142" s="119"/>
      <c r="FL142" s="119"/>
      <c r="FM142" s="119"/>
      <c r="FN142" s="119"/>
      <c r="FO142" s="119"/>
      <c r="FP142" s="119"/>
      <c r="FQ142" s="119"/>
      <c r="FR142" s="119"/>
      <c r="FS142" s="119"/>
      <c r="FT142" s="119"/>
      <c r="FU142" s="119"/>
      <c r="FV142" s="119"/>
      <c r="FW142" s="119"/>
      <c r="FX142" s="119"/>
      <c r="FY142" s="119"/>
      <c r="FZ142" s="119"/>
      <c r="GA142" s="119"/>
      <c r="GB142" s="119"/>
      <c r="GC142" s="119"/>
      <c r="GD142" s="119"/>
      <c r="GE142" s="119"/>
      <c r="GF142" s="119"/>
      <c r="GG142" s="119"/>
      <c r="GH142" s="119"/>
      <c r="GI142" s="119"/>
      <c r="GJ142" s="119"/>
      <c r="GK142" s="119"/>
      <c r="GL142" s="119"/>
      <c r="GM142" s="119"/>
      <c r="GN142" s="119"/>
      <c r="GO142" s="119"/>
      <c r="GP142" s="119"/>
      <c r="GQ142" s="119"/>
      <c r="GR142" s="119"/>
      <c r="GS142" s="119"/>
      <c r="GT142" s="119"/>
      <c r="GU142" s="119"/>
      <c r="GV142" s="119"/>
      <c r="GW142" s="119"/>
      <c r="GX142" s="119"/>
      <c r="GY142" s="119"/>
      <c r="GZ142" s="119"/>
      <c r="HA142" s="119"/>
      <c r="HB142" s="119"/>
      <c r="HC142" s="119"/>
      <c r="HD142" s="119"/>
      <c r="HE142" s="119"/>
      <c r="HF142" s="119"/>
      <c r="HG142" s="119"/>
      <c r="HH142" s="119"/>
      <c r="HI142" s="119"/>
      <c r="HJ142" s="119"/>
      <c r="HK142" s="119"/>
      <c r="HL142" s="119"/>
      <c r="HM142" s="119"/>
      <c r="HN142" s="119"/>
      <c r="HO142" s="119"/>
      <c r="HP142" s="119"/>
      <c r="HQ142" s="119"/>
      <c r="HR142" s="119"/>
      <c r="HS142" s="119"/>
      <c r="HT142" s="119"/>
      <c r="HU142" s="119"/>
      <c r="HV142" s="119"/>
      <c r="HW142" s="119"/>
      <c r="HX142" s="119"/>
      <c r="HY142" s="119"/>
      <c r="HZ142" s="119"/>
      <c r="IA142" s="119"/>
      <c r="IB142" s="119"/>
      <c r="IC142" s="119"/>
      <c r="ID142" s="119"/>
      <c r="IE142" s="119"/>
      <c r="IF142" s="119"/>
      <c r="IG142" s="119"/>
      <c r="IH142" s="119"/>
      <c r="II142" s="119"/>
      <c r="IJ142" s="119"/>
      <c r="IK142" s="119"/>
      <c r="IL142" s="119"/>
      <c r="IM142" s="119"/>
      <c r="IN142" s="119"/>
      <c r="IO142" s="119"/>
      <c r="IP142" s="119"/>
      <c r="IQ142" s="119"/>
      <c r="IR142" s="119"/>
      <c r="IS142" s="119"/>
      <c r="IT142" s="119"/>
      <c r="IU142" s="119"/>
      <c r="IV142" s="119"/>
      <c r="IW142" s="119"/>
    </row>
    <row r="143" spans="1:257" s="187" customFormat="1" ht="36.75" customHeight="1" x14ac:dyDescent="0.35">
      <c r="A143" s="195">
        <v>134</v>
      </c>
      <c r="B143" s="692"/>
      <c r="C143" s="120">
        <v>46</v>
      </c>
      <c r="D143" s="688" t="s">
        <v>1022</v>
      </c>
      <c r="E143" s="127">
        <f>F143+G143+P145+Q144</f>
        <v>1496320</v>
      </c>
      <c r="F143" s="127"/>
      <c r="G143" s="693"/>
      <c r="H143" s="224" t="s">
        <v>24</v>
      </c>
      <c r="I143" s="559"/>
      <c r="J143" s="559"/>
      <c r="K143" s="559"/>
      <c r="L143" s="559"/>
      <c r="M143" s="559"/>
      <c r="N143" s="559"/>
      <c r="O143" s="1795"/>
      <c r="P143" s="1275"/>
      <c r="Q143" s="694"/>
      <c r="R143" s="119"/>
      <c r="S143" s="119"/>
      <c r="T143" s="119"/>
      <c r="U143" s="119"/>
      <c r="V143" s="119"/>
      <c r="W143" s="119"/>
      <c r="X143" s="119"/>
      <c r="Y143" s="119"/>
      <c r="Z143" s="119"/>
      <c r="AA143" s="119"/>
      <c r="AB143" s="119"/>
      <c r="AC143" s="119"/>
      <c r="AD143" s="119"/>
      <c r="AE143" s="119"/>
      <c r="AF143" s="119"/>
      <c r="AG143" s="119"/>
      <c r="AH143" s="119"/>
      <c r="AI143" s="119"/>
      <c r="AJ143" s="119"/>
      <c r="AK143" s="119"/>
      <c r="AL143" s="119"/>
      <c r="AM143" s="119"/>
      <c r="AN143" s="119"/>
      <c r="AO143" s="119"/>
      <c r="AP143" s="119"/>
      <c r="AQ143" s="119"/>
      <c r="AR143" s="119"/>
      <c r="AS143" s="119"/>
      <c r="AT143" s="119"/>
      <c r="AU143" s="119"/>
      <c r="AV143" s="119"/>
      <c r="AW143" s="119"/>
      <c r="AX143" s="119"/>
      <c r="AY143" s="119"/>
      <c r="AZ143" s="119"/>
      <c r="BA143" s="119"/>
      <c r="BB143" s="119"/>
      <c r="BC143" s="119"/>
      <c r="BD143" s="119"/>
      <c r="BE143" s="119"/>
      <c r="BF143" s="119"/>
      <c r="BG143" s="119"/>
      <c r="BH143" s="119"/>
      <c r="BI143" s="119"/>
      <c r="BJ143" s="119"/>
      <c r="BK143" s="119"/>
      <c r="BL143" s="119"/>
      <c r="BM143" s="119"/>
      <c r="BN143" s="119"/>
      <c r="BO143" s="119"/>
      <c r="BP143" s="119"/>
      <c r="BQ143" s="119"/>
      <c r="BR143" s="119"/>
      <c r="BS143" s="119"/>
      <c r="BT143" s="119"/>
      <c r="BU143" s="119"/>
      <c r="BV143" s="119"/>
      <c r="BW143" s="119"/>
      <c r="BX143" s="119"/>
      <c r="BY143" s="119"/>
      <c r="BZ143" s="119"/>
      <c r="CA143" s="119"/>
      <c r="CB143" s="119"/>
      <c r="CC143" s="119"/>
      <c r="CD143" s="119"/>
      <c r="CE143" s="119"/>
      <c r="CF143" s="119"/>
      <c r="CG143" s="119"/>
      <c r="CH143" s="119"/>
      <c r="CI143" s="119"/>
      <c r="CJ143" s="119"/>
      <c r="CK143" s="119"/>
      <c r="CL143" s="119"/>
      <c r="CM143" s="119"/>
      <c r="CN143" s="119"/>
      <c r="CO143" s="119"/>
      <c r="CP143" s="119"/>
      <c r="CQ143" s="119"/>
      <c r="CR143" s="119"/>
      <c r="CS143" s="119"/>
      <c r="CT143" s="119"/>
      <c r="CU143" s="119"/>
      <c r="CV143" s="119"/>
      <c r="CW143" s="119"/>
      <c r="CX143" s="119"/>
      <c r="CY143" s="119"/>
      <c r="CZ143" s="119"/>
      <c r="DA143" s="119"/>
      <c r="DB143" s="119"/>
      <c r="DC143" s="119"/>
      <c r="DD143" s="119"/>
      <c r="DE143" s="119"/>
      <c r="DF143" s="119"/>
      <c r="DG143" s="119"/>
      <c r="DH143" s="119"/>
      <c r="DI143" s="119"/>
      <c r="DJ143" s="119"/>
      <c r="DK143" s="119"/>
      <c r="DL143" s="119"/>
      <c r="DM143" s="119"/>
      <c r="DN143" s="119"/>
      <c r="DO143" s="119"/>
      <c r="DP143" s="119"/>
      <c r="DQ143" s="119"/>
      <c r="DR143" s="119"/>
      <c r="DS143" s="119"/>
      <c r="DT143" s="119"/>
      <c r="DU143" s="119"/>
      <c r="DV143" s="119"/>
      <c r="DW143" s="119"/>
      <c r="DX143" s="119"/>
      <c r="DY143" s="119"/>
      <c r="DZ143" s="119"/>
      <c r="EA143" s="119"/>
      <c r="EB143" s="119"/>
      <c r="EC143" s="119"/>
      <c r="ED143" s="119"/>
      <c r="EE143" s="119"/>
      <c r="EF143" s="119"/>
      <c r="EG143" s="119"/>
      <c r="EH143" s="119"/>
      <c r="EI143" s="119"/>
      <c r="EJ143" s="119"/>
      <c r="EK143" s="119"/>
      <c r="EL143" s="119"/>
      <c r="EM143" s="119"/>
      <c r="EN143" s="119"/>
      <c r="EO143" s="119"/>
      <c r="EP143" s="119"/>
      <c r="EQ143" s="119"/>
      <c r="ER143" s="119"/>
      <c r="ES143" s="119"/>
      <c r="ET143" s="119"/>
      <c r="EU143" s="119"/>
      <c r="EV143" s="119"/>
      <c r="EW143" s="119"/>
      <c r="EX143" s="119"/>
      <c r="EY143" s="119"/>
      <c r="EZ143" s="119"/>
      <c r="FA143" s="119"/>
      <c r="FB143" s="119"/>
      <c r="FC143" s="119"/>
      <c r="FD143" s="119"/>
      <c r="FE143" s="119"/>
      <c r="FF143" s="119"/>
      <c r="FG143" s="119"/>
      <c r="FH143" s="119"/>
      <c r="FI143" s="119"/>
      <c r="FJ143" s="119"/>
      <c r="FK143" s="119"/>
      <c r="FL143" s="119"/>
      <c r="FM143" s="119"/>
      <c r="FN143" s="119"/>
      <c r="FO143" s="119"/>
      <c r="FP143" s="119"/>
      <c r="FQ143" s="119"/>
      <c r="FR143" s="119"/>
      <c r="FS143" s="119"/>
      <c r="FT143" s="119"/>
      <c r="FU143" s="119"/>
      <c r="FV143" s="119"/>
      <c r="FW143" s="119"/>
      <c r="FX143" s="119"/>
      <c r="FY143" s="119"/>
      <c r="FZ143" s="119"/>
      <c r="GA143" s="119"/>
      <c r="GB143" s="119"/>
      <c r="GC143" s="119"/>
      <c r="GD143" s="119"/>
      <c r="GE143" s="119"/>
      <c r="GF143" s="119"/>
      <c r="GG143" s="119"/>
      <c r="GH143" s="119"/>
      <c r="GI143" s="119"/>
      <c r="GJ143" s="119"/>
      <c r="GK143" s="119"/>
      <c r="GL143" s="119"/>
      <c r="GM143" s="119"/>
      <c r="GN143" s="119"/>
      <c r="GO143" s="119"/>
      <c r="GP143" s="119"/>
      <c r="GQ143" s="119"/>
      <c r="GR143" s="119"/>
      <c r="GS143" s="119"/>
      <c r="GT143" s="119"/>
      <c r="GU143" s="119"/>
      <c r="GV143" s="119"/>
      <c r="GW143" s="119"/>
      <c r="GX143" s="119"/>
      <c r="GY143" s="119"/>
      <c r="GZ143" s="119"/>
      <c r="HA143" s="119"/>
      <c r="HB143" s="119"/>
      <c r="HC143" s="119"/>
      <c r="HD143" s="119"/>
      <c r="HE143" s="119"/>
      <c r="HF143" s="119"/>
      <c r="HG143" s="119"/>
      <c r="HH143" s="119"/>
      <c r="HI143" s="119"/>
      <c r="HJ143" s="119"/>
      <c r="HK143" s="119"/>
      <c r="HL143" s="119"/>
      <c r="HM143" s="119"/>
      <c r="HN143" s="119"/>
      <c r="HO143" s="119"/>
      <c r="HP143" s="119"/>
      <c r="HQ143" s="119"/>
      <c r="HR143" s="119"/>
      <c r="HS143" s="119"/>
      <c r="HT143" s="119"/>
      <c r="HU143" s="119"/>
      <c r="HV143" s="119"/>
      <c r="HW143" s="119"/>
      <c r="HX143" s="119"/>
      <c r="HY143" s="119"/>
      <c r="HZ143" s="119"/>
      <c r="IA143" s="119"/>
      <c r="IB143" s="119"/>
      <c r="IC143" s="119"/>
      <c r="ID143" s="119"/>
      <c r="IE143" s="119"/>
      <c r="IF143" s="119"/>
      <c r="IG143" s="119"/>
      <c r="IH143" s="119"/>
      <c r="II143" s="119"/>
      <c r="IJ143" s="119"/>
      <c r="IK143" s="119"/>
      <c r="IL143" s="119"/>
      <c r="IM143" s="119"/>
      <c r="IN143" s="119"/>
      <c r="IO143" s="119"/>
      <c r="IP143" s="119"/>
      <c r="IQ143" s="119"/>
      <c r="IR143" s="119"/>
      <c r="IS143" s="119"/>
      <c r="IT143" s="119"/>
      <c r="IU143" s="119"/>
      <c r="IV143" s="119"/>
      <c r="IW143" s="119"/>
    </row>
    <row r="144" spans="1:257" s="187" customFormat="1" ht="18" customHeight="1" x14ac:dyDescent="0.35">
      <c r="A144" s="195">
        <v>135</v>
      </c>
      <c r="B144" s="692"/>
      <c r="C144" s="120"/>
      <c r="D144" s="1265" t="s">
        <v>656</v>
      </c>
      <c r="E144" s="127"/>
      <c r="F144" s="127"/>
      <c r="G144" s="693"/>
      <c r="H144" s="224"/>
      <c r="I144" s="559"/>
      <c r="J144" s="559"/>
      <c r="K144" s="1282">
        <v>943</v>
      </c>
      <c r="L144" s="1282"/>
      <c r="M144" s="1282">
        <v>1415081</v>
      </c>
      <c r="N144" s="559"/>
      <c r="O144" s="1795"/>
      <c r="P144" s="1276">
        <f>SUM(I144:O144)</f>
        <v>1416024</v>
      </c>
      <c r="Q144" s="694">
        <v>80296</v>
      </c>
      <c r="R144" s="119"/>
      <c r="S144" s="119"/>
      <c r="T144" s="119"/>
      <c r="U144" s="119"/>
      <c r="V144" s="119"/>
      <c r="W144" s="119"/>
      <c r="X144" s="119"/>
      <c r="Y144" s="119"/>
      <c r="Z144" s="119"/>
      <c r="AA144" s="119"/>
      <c r="AB144" s="119"/>
      <c r="AC144" s="119"/>
      <c r="AD144" s="119"/>
      <c r="AE144" s="119"/>
      <c r="AF144" s="119"/>
      <c r="AG144" s="119"/>
      <c r="AH144" s="119"/>
      <c r="AI144" s="119"/>
      <c r="AJ144" s="119"/>
      <c r="AK144" s="119"/>
      <c r="AL144" s="119"/>
      <c r="AM144" s="119"/>
      <c r="AN144" s="119"/>
      <c r="AO144" s="119"/>
      <c r="AP144" s="119"/>
      <c r="AQ144" s="119"/>
      <c r="AR144" s="119"/>
      <c r="AS144" s="119"/>
      <c r="AT144" s="119"/>
      <c r="AU144" s="119"/>
      <c r="AV144" s="119"/>
      <c r="AW144" s="119"/>
      <c r="AX144" s="119"/>
      <c r="AY144" s="119"/>
      <c r="AZ144" s="119"/>
      <c r="BA144" s="119"/>
      <c r="BB144" s="119"/>
      <c r="BC144" s="119"/>
      <c r="BD144" s="119"/>
      <c r="BE144" s="119"/>
      <c r="BF144" s="119"/>
      <c r="BG144" s="119"/>
      <c r="BH144" s="119"/>
      <c r="BI144" s="119"/>
      <c r="BJ144" s="119"/>
      <c r="BK144" s="119"/>
      <c r="BL144" s="119"/>
      <c r="BM144" s="119"/>
      <c r="BN144" s="119"/>
      <c r="BO144" s="119"/>
      <c r="BP144" s="119"/>
      <c r="BQ144" s="119"/>
      <c r="BR144" s="119"/>
      <c r="BS144" s="119"/>
      <c r="BT144" s="119"/>
      <c r="BU144" s="119"/>
      <c r="BV144" s="119"/>
      <c r="BW144" s="119"/>
      <c r="BX144" s="119"/>
      <c r="BY144" s="119"/>
      <c r="BZ144" s="119"/>
      <c r="CA144" s="119"/>
      <c r="CB144" s="119"/>
      <c r="CC144" s="119"/>
      <c r="CD144" s="119"/>
      <c r="CE144" s="119"/>
      <c r="CF144" s="119"/>
      <c r="CG144" s="119"/>
      <c r="CH144" s="119"/>
      <c r="CI144" s="119"/>
      <c r="CJ144" s="119"/>
      <c r="CK144" s="119"/>
      <c r="CL144" s="119"/>
      <c r="CM144" s="119"/>
      <c r="CN144" s="119"/>
      <c r="CO144" s="119"/>
      <c r="CP144" s="119"/>
      <c r="CQ144" s="119"/>
      <c r="CR144" s="119"/>
      <c r="CS144" s="119"/>
      <c r="CT144" s="119"/>
      <c r="CU144" s="119"/>
      <c r="CV144" s="119"/>
      <c r="CW144" s="119"/>
      <c r="CX144" s="119"/>
      <c r="CY144" s="119"/>
      <c r="CZ144" s="119"/>
      <c r="DA144" s="119"/>
      <c r="DB144" s="119"/>
      <c r="DC144" s="119"/>
      <c r="DD144" s="119"/>
      <c r="DE144" s="119"/>
      <c r="DF144" s="119"/>
      <c r="DG144" s="119"/>
      <c r="DH144" s="119"/>
      <c r="DI144" s="119"/>
      <c r="DJ144" s="119"/>
      <c r="DK144" s="119"/>
      <c r="DL144" s="119"/>
      <c r="DM144" s="119"/>
      <c r="DN144" s="119"/>
      <c r="DO144" s="119"/>
      <c r="DP144" s="119"/>
      <c r="DQ144" s="119"/>
      <c r="DR144" s="119"/>
      <c r="DS144" s="119"/>
      <c r="DT144" s="119"/>
      <c r="DU144" s="119"/>
      <c r="DV144" s="119"/>
      <c r="DW144" s="119"/>
      <c r="DX144" s="119"/>
      <c r="DY144" s="119"/>
      <c r="DZ144" s="119"/>
      <c r="EA144" s="119"/>
      <c r="EB144" s="119"/>
      <c r="EC144" s="119"/>
      <c r="ED144" s="119"/>
      <c r="EE144" s="119"/>
      <c r="EF144" s="119"/>
      <c r="EG144" s="119"/>
      <c r="EH144" s="119"/>
      <c r="EI144" s="119"/>
      <c r="EJ144" s="119"/>
      <c r="EK144" s="119"/>
      <c r="EL144" s="119"/>
      <c r="EM144" s="119"/>
      <c r="EN144" s="119"/>
      <c r="EO144" s="119"/>
      <c r="EP144" s="119"/>
      <c r="EQ144" s="119"/>
      <c r="ER144" s="119"/>
      <c r="ES144" s="119"/>
      <c r="ET144" s="119"/>
      <c r="EU144" s="119"/>
      <c r="EV144" s="119"/>
      <c r="EW144" s="119"/>
      <c r="EX144" s="119"/>
      <c r="EY144" s="119"/>
      <c r="EZ144" s="119"/>
      <c r="FA144" s="119"/>
      <c r="FB144" s="119"/>
      <c r="FC144" s="119"/>
      <c r="FD144" s="119"/>
      <c r="FE144" s="119"/>
      <c r="FF144" s="119"/>
      <c r="FG144" s="119"/>
      <c r="FH144" s="119"/>
      <c r="FI144" s="119"/>
      <c r="FJ144" s="119"/>
      <c r="FK144" s="119"/>
      <c r="FL144" s="119"/>
      <c r="FM144" s="119"/>
      <c r="FN144" s="119"/>
      <c r="FO144" s="119"/>
      <c r="FP144" s="119"/>
      <c r="FQ144" s="119"/>
      <c r="FR144" s="119"/>
      <c r="FS144" s="119"/>
      <c r="FT144" s="119"/>
      <c r="FU144" s="119"/>
      <c r="FV144" s="119"/>
      <c r="FW144" s="119"/>
      <c r="FX144" s="119"/>
      <c r="FY144" s="119"/>
      <c r="FZ144" s="119"/>
      <c r="GA144" s="119"/>
      <c r="GB144" s="119"/>
      <c r="GC144" s="119"/>
      <c r="GD144" s="119"/>
      <c r="GE144" s="119"/>
      <c r="GF144" s="119"/>
      <c r="GG144" s="119"/>
      <c r="GH144" s="119"/>
      <c r="GI144" s="119"/>
      <c r="GJ144" s="119"/>
      <c r="GK144" s="119"/>
      <c r="GL144" s="119"/>
      <c r="GM144" s="119"/>
      <c r="GN144" s="119"/>
      <c r="GO144" s="119"/>
      <c r="GP144" s="119"/>
      <c r="GQ144" s="119"/>
      <c r="GR144" s="119"/>
      <c r="GS144" s="119"/>
      <c r="GT144" s="119"/>
      <c r="GU144" s="119"/>
      <c r="GV144" s="119"/>
      <c r="GW144" s="119"/>
      <c r="GX144" s="119"/>
      <c r="GY144" s="119"/>
      <c r="GZ144" s="119"/>
      <c r="HA144" s="119"/>
      <c r="HB144" s="119"/>
      <c r="HC144" s="119"/>
      <c r="HD144" s="119"/>
      <c r="HE144" s="119"/>
      <c r="HF144" s="119"/>
      <c r="HG144" s="119"/>
      <c r="HH144" s="119"/>
      <c r="HI144" s="119"/>
      <c r="HJ144" s="119"/>
      <c r="HK144" s="119"/>
      <c r="HL144" s="119"/>
      <c r="HM144" s="119"/>
      <c r="HN144" s="119"/>
      <c r="HO144" s="119"/>
      <c r="HP144" s="119"/>
      <c r="HQ144" s="119"/>
      <c r="HR144" s="119"/>
      <c r="HS144" s="119"/>
      <c r="HT144" s="119"/>
      <c r="HU144" s="119"/>
      <c r="HV144" s="119"/>
      <c r="HW144" s="119"/>
      <c r="HX144" s="119"/>
      <c r="HY144" s="119"/>
      <c r="HZ144" s="119"/>
      <c r="IA144" s="119"/>
      <c r="IB144" s="119"/>
      <c r="IC144" s="119"/>
      <c r="ID144" s="119"/>
      <c r="IE144" s="119"/>
      <c r="IF144" s="119"/>
      <c r="IG144" s="119"/>
      <c r="IH144" s="119"/>
      <c r="II144" s="119"/>
      <c r="IJ144" s="119"/>
      <c r="IK144" s="119"/>
      <c r="IL144" s="119"/>
      <c r="IM144" s="119"/>
      <c r="IN144" s="119"/>
      <c r="IO144" s="119"/>
      <c r="IP144" s="119"/>
      <c r="IQ144" s="119"/>
      <c r="IR144" s="119"/>
      <c r="IS144" s="119"/>
      <c r="IT144" s="119"/>
      <c r="IU144" s="119"/>
      <c r="IV144" s="119"/>
      <c r="IW144" s="119"/>
    </row>
    <row r="145" spans="1:257" s="187" customFormat="1" ht="18" customHeight="1" x14ac:dyDescent="0.35">
      <c r="A145" s="195">
        <v>136</v>
      </c>
      <c r="B145" s="692"/>
      <c r="C145" s="120"/>
      <c r="D145" s="1268" t="s">
        <v>862</v>
      </c>
      <c r="E145" s="127"/>
      <c r="F145" s="127"/>
      <c r="G145" s="693"/>
      <c r="H145" s="224"/>
      <c r="I145" s="559"/>
      <c r="J145" s="559"/>
      <c r="K145" s="559">
        <f>SUM(K144)</f>
        <v>943</v>
      </c>
      <c r="L145" s="559"/>
      <c r="M145" s="559">
        <f>SUM(M144)</f>
        <v>1415081</v>
      </c>
      <c r="N145" s="559"/>
      <c r="O145" s="1795"/>
      <c r="P145" s="1275">
        <f>SUM(I145:O145)</f>
        <v>1416024</v>
      </c>
      <c r="Q145" s="694"/>
      <c r="R145" s="119"/>
      <c r="S145" s="119"/>
      <c r="T145" s="119"/>
      <c r="U145" s="119"/>
      <c r="V145" s="119"/>
      <c r="W145" s="119"/>
      <c r="X145" s="119"/>
      <c r="Y145" s="119"/>
      <c r="Z145" s="119"/>
      <c r="AA145" s="119"/>
      <c r="AB145" s="119"/>
      <c r="AC145" s="119"/>
      <c r="AD145" s="119"/>
      <c r="AE145" s="119"/>
      <c r="AF145" s="119"/>
      <c r="AG145" s="119"/>
      <c r="AH145" s="119"/>
      <c r="AI145" s="119"/>
      <c r="AJ145" s="119"/>
      <c r="AK145" s="119"/>
      <c r="AL145" s="119"/>
      <c r="AM145" s="119"/>
      <c r="AN145" s="119"/>
      <c r="AO145" s="119"/>
      <c r="AP145" s="119"/>
      <c r="AQ145" s="119"/>
      <c r="AR145" s="119"/>
      <c r="AS145" s="119"/>
      <c r="AT145" s="119"/>
      <c r="AU145" s="119"/>
      <c r="AV145" s="119"/>
      <c r="AW145" s="119"/>
      <c r="AX145" s="119"/>
      <c r="AY145" s="119"/>
      <c r="AZ145" s="119"/>
      <c r="BA145" s="119"/>
      <c r="BB145" s="119"/>
      <c r="BC145" s="119"/>
      <c r="BD145" s="119"/>
      <c r="BE145" s="119"/>
      <c r="BF145" s="119"/>
      <c r="BG145" s="119"/>
      <c r="BH145" s="119"/>
      <c r="BI145" s="119"/>
      <c r="BJ145" s="119"/>
      <c r="BK145" s="119"/>
      <c r="BL145" s="119"/>
      <c r="BM145" s="119"/>
      <c r="BN145" s="119"/>
      <c r="BO145" s="119"/>
      <c r="BP145" s="119"/>
      <c r="BQ145" s="119"/>
      <c r="BR145" s="119"/>
      <c r="BS145" s="119"/>
      <c r="BT145" s="119"/>
      <c r="BU145" s="119"/>
      <c r="BV145" s="119"/>
      <c r="BW145" s="119"/>
      <c r="BX145" s="119"/>
      <c r="BY145" s="119"/>
      <c r="BZ145" s="119"/>
      <c r="CA145" s="119"/>
      <c r="CB145" s="119"/>
      <c r="CC145" s="119"/>
      <c r="CD145" s="119"/>
      <c r="CE145" s="119"/>
      <c r="CF145" s="119"/>
      <c r="CG145" s="119"/>
      <c r="CH145" s="119"/>
      <c r="CI145" s="119"/>
      <c r="CJ145" s="119"/>
      <c r="CK145" s="119"/>
      <c r="CL145" s="119"/>
      <c r="CM145" s="119"/>
      <c r="CN145" s="119"/>
      <c r="CO145" s="119"/>
      <c r="CP145" s="119"/>
      <c r="CQ145" s="119"/>
      <c r="CR145" s="119"/>
      <c r="CS145" s="119"/>
      <c r="CT145" s="119"/>
      <c r="CU145" s="119"/>
      <c r="CV145" s="119"/>
      <c r="CW145" s="119"/>
      <c r="CX145" s="119"/>
      <c r="CY145" s="119"/>
      <c r="CZ145" s="119"/>
      <c r="DA145" s="119"/>
      <c r="DB145" s="119"/>
      <c r="DC145" s="119"/>
      <c r="DD145" s="119"/>
      <c r="DE145" s="119"/>
      <c r="DF145" s="119"/>
      <c r="DG145" s="119"/>
      <c r="DH145" s="119"/>
      <c r="DI145" s="119"/>
      <c r="DJ145" s="119"/>
      <c r="DK145" s="119"/>
      <c r="DL145" s="119"/>
      <c r="DM145" s="119"/>
      <c r="DN145" s="119"/>
      <c r="DO145" s="119"/>
      <c r="DP145" s="119"/>
      <c r="DQ145" s="119"/>
      <c r="DR145" s="119"/>
      <c r="DS145" s="119"/>
      <c r="DT145" s="119"/>
      <c r="DU145" s="119"/>
      <c r="DV145" s="119"/>
      <c r="DW145" s="119"/>
      <c r="DX145" s="119"/>
      <c r="DY145" s="119"/>
      <c r="DZ145" s="119"/>
      <c r="EA145" s="119"/>
      <c r="EB145" s="119"/>
      <c r="EC145" s="119"/>
      <c r="ED145" s="119"/>
      <c r="EE145" s="119"/>
      <c r="EF145" s="119"/>
      <c r="EG145" s="119"/>
      <c r="EH145" s="119"/>
      <c r="EI145" s="119"/>
      <c r="EJ145" s="119"/>
      <c r="EK145" s="119"/>
      <c r="EL145" s="119"/>
      <c r="EM145" s="119"/>
      <c r="EN145" s="119"/>
      <c r="EO145" s="119"/>
      <c r="EP145" s="119"/>
      <c r="EQ145" s="119"/>
      <c r="ER145" s="119"/>
      <c r="ES145" s="119"/>
      <c r="ET145" s="119"/>
      <c r="EU145" s="119"/>
      <c r="EV145" s="119"/>
      <c r="EW145" s="119"/>
      <c r="EX145" s="119"/>
      <c r="EY145" s="119"/>
      <c r="EZ145" s="119"/>
      <c r="FA145" s="119"/>
      <c r="FB145" s="119"/>
      <c r="FC145" s="119"/>
      <c r="FD145" s="119"/>
      <c r="FE145" s="119"/>
      <c r="FF145" s="119"/>
      <c r="FG145" s="119"/>
      <c r="FH145" s="119"/>
      <c r="FI145" s="119"/>
      <c r="FJ145" s="119"/>
      <c r="FK145" s="119"/>
      <c r="FL145" s="119"/>
      <c r="FM145" s="119"/>
      <c r="FN145" s="119"/>
      <c r="FO145" s="119"/>
      <c r="FP145" s="119"/>
      <c r="FQ145" s="119"/>
      <c r="FR145" s="119"/>
      <c r="FS145" s="119"/>
      <c r="FT145" s="119"/>
      <c r="FU145" s="119"/>
      <c r="FV145" s="119"/>
      <c r="FW145" s="119"/>
      <c r="FX145" s="119"/>
      <c r="FY145" s="119"/>
      <c r="FZ145" s="119"/>
      <c r="GA145" s="119"/>
      <c r="GB145" s="119"/>
      <c r="GC145" s="119"/>
      <c r="GD145" s="119"/>
      <c r="GE145" s="119"/>
      <c r="GF145" s="119"/>
      <c r="GG145" s="119"/>
      <c r="GH145" s="119"/>
      <c r="GI145" s="119"/>
      <c r="GJ145" s="119"/>
      <c r="GK145" s="119"/>
      <c r="GL145" s="119"/>
      <c r="GM145" s="119"/>
      <c r="GN145" s="119"/>
      <c r="GO145" s="119"/>
      <c r="GP145" s="119"/>
      <c r="GQ145" s="119"/>
      <c r="GR145" s="119"/>
      <c r="GS145" s="119"/>
      <c r="GT145" s="119"/>
      <c r="GU145" s="119"/>
      <c r="GV145" s="119"/>
      <c r="GW145" s="119"/>
      <c r="GX145" s="119"/>
      <c r="GY145" s="119"/>
      <c r="GZ145" s="119"/>
      <c r="HA145" s="119"/>
      <c r="HB145" s="119"/>
      <c r="HC145" s="119"/>
      <c r="HD145" s="119"/>
      <c r="HE145" s="119"/>
      <c r="HF145" s="119"/>
      <c r="HG145" s="119"/>
      <c r="HH145" s="119"/>
      <c r="HI145" s="119"/>
      <c r="HJ145" s="119"/>
      <c r="HK145" s="119"/>
      <c r="HL145" s="119"/>
      <c r="HM145" s="119"/>
      <c r="HN145" s="119"/>
      <c r="HO145" s="119"/>
      <c r="HP145" s="119"/>
      <c r="HQ145" s="119"/>
      <c r="HR145" s="119"/>
      <c r="HS145" s="119"/>
      <c r="HT145" s="119"/>
      <c r="HU145" s="119"/>
      <c r="HV145" s="119"/>
      <c r="HW145" s="119"/>
      <c r="HX145" s="119"/>
      <c r="HY145" s="119"/>
      <c r="HZ145" s="119"/>
      <c r="IA145" s="119"/>
      <c r="IB145" s="119"/>
      <c r="IC145" s="119"/>
      <c r="ID145" s="119"/>
      <c r="IE145" s="119"/>
      <c r="IF145" s="119"/>
      <c r="IG145" s="119"/>
      <c r="IH145" s="119"/>
      <c r="II145" s="119"/>
      <c r="IJ145" s="119"/>
      <c r="IK145" s="119"/>
      <c r="IL145" s="119"/>
      <c r="IM145" s="119"/>
      <c r="IN145" s="119"/>
      <c r="IO145" s="119"/>
      <c r="IP145" s="119"/>
      <c r="IQ145" s="119"/>
      <c r="IR145" s="119"/>
      <c r="IS145" s="119"/>
      <c r="IT145" s="119"/>
      <c r="IU145" s="119"/>
      <c r="IV145" s="119"/>
      <c r="IW145" s="119"/>
    </row>
    <row r="146" spans="1:257" s="187" customFormat="1" ht="34.5" customHeight="1" x14ac:dyDescent="0.35">
      <c r="A146" s="195">
        <v>137</v>
      </c>
      <c r="B146" s="692"/>
      <c r="C146" s="120">
        <v>47</v>
      </c>
      <c r="D146" s="688" t="s">
        <v>1023</v>
      </c>
      <c r="E146" s="127">
        <f>F146+G146+P148+Q147</f>
        <v>128417</v>
      </c>
      <c r="F146" s="127"/>
      <c r="G146" s="693"/>
      <c r="H146" s="224" t="s">
        <v>24</v>
      </c>
      <c r="I146" s="559"/>
      <c r="J146" s="559"/>
      <c r="K146" s="559"/>
      <c r="L146" s="559"/>
      <c r="M146" s="559"/>
      <c r="N146" s="559"/>
      <c r="O146" s="1795"/>
      <c r="P146" s="1275"/>
      <c r="Q146" s="694"/>
      <c r="R146" s="119"/>
      <c r="S146" s="119"/>
      <c r="T146" s="119"/>
      <c r="U146" s="119"/>
      <c r="V146" s="119"/>
      <c r="W146" s="119"/>
      <c r="X146" s="119"/>
      <c r="Y146" s="119"/>
      <c r="Z146" s="119"/>
      <c r="AA146" s="119"/>
      <c r="AB146" s="119"/>
      <c r="AC146" s="119"/>
      <c r="AD146" s="119"/>
      <c r="AE146" s="119"/>
      <c r="AF146" s="119"/>
      <c r="AG146" s="119"/>
      <c r="AH146" s="119"/>
      <c r="AI146" s="119"/>
      <c r="AJ146" s="119"/>
      <c r="AK146" s="119"/>
      <c r="AL146" s="119"/>
      <c r="AM146" s="119"/>
      <c r="AN146" s="119"/>
      <c r="AO146" s="119"/>
      <c r="AP146" s="119"/>
      <c r="AQ146" s="119"/>
      <c r="AR146" s="119"/>
      <c r="AS146" s="119"/>
      <c r="AT146" s="119"/>
      <c r="AU146" s="119"/>
      <c r="AV146" s="119"/>
      <c r="AW146" s="119"/>
      <c r="AX146" s="119"/>
      <c r="AY146" s="119"/>
      <c r="AZ146" s="119"/>
      <c r="BA146" s="119"/>
      <c r="BB146" s="119"/>
      <c r="BC146" s="119"/>
      <c r="BD146" s="119"/>
      <c r="BE146" s="119"/>
      <c r="BF146" s="119"/>
      <c r="BG146" s="119"/>
      <c r="BH146" s="119"/>
      <c r="BI146" s="119"/>
      <c r="BJ146" s="119"/>
      <c r="BK146" s="119"/>
      <c r="BL146" s="119"/>
      <c r="BM146" s="119"/>
      <c r="BN146" s="119"/>
      <c r="BO146" s="119"/>
      <c r="BP146" s="119"/>
      <c r="BQ146" s="119"/>
      <c r="BR146" s="119"/>
      <c r="BS146" s="119"/>
      <c r="BT146" s="119"/>
      <c r="BU146" s="119"/>
      <c r="BV146" s="119"/>
      <c r="BW146" s="119"/>
      <c r="BX146" s="119"/>
      <c r="BY146" s="119"/>
      <c r="BZ146" s="119"/>
      <c r="CA146" s="119"/>
      <c r="CB146" s="119"/>
      <c r="CC146" s="119"/>
      <c r="CD146" s="119"/>
      <c r="CE146" s="119"/>
      <c r="CF146" s="119"/>
      <c r="CG146" s="119"/>
      <c r="CH146" s="119"/>
      <c r="CI146" s="119"/>
      <c r="CJ146" s="119"/>
      <c r="CK146" s="119"/>
      <c r="CL146" s="119"/>
      <c r="CM146" s="119"/>
      <c r="CN146" s="119"/>
      <c r="CO146" s="119"/>
      <c r="CP146" s="119"/>
      <c r="CQ146" s="119"/>
      <c r="CR146" s="119"/>
      <c r="CS146" s="119"/>
      <c r="CT146" s="119"/>
      <c r="CU146" s="119"/>
      <c r="CV146" s="119"/>
      <c r="CW146" s="119"/>
      <c r="CX146" s="119"/>
      <c r="CY146" s="119"/>
      <c r="CZ146" s="119"/>
      <c r="DA146" s="119"/>
      <c r="DB146" s="119"/>
      <c r="DC146" s="119"/>
      <c r="DD146" s="119"/>
      <c r="DE146" s="119"/>
      <c r="DF146" s="119"/>
      <c r="DG146" s="119"/>
      <c r="DH146" s="119"/>
      <c r="DI146" s="119"/>
      <c r="DJ146" s="119"/>
      <c r="DK146" s="119"/>
      <c r="DL146" s="119"/>
      <c r="DM146" s="119"/>
      <c r="DN146" s="119"/>
      <c r="DO146" s="119"/>
      <c r="DP146" s="119"/>
      <c r="DQ146" s="119"/>
      <c r="DR146" s="119"/>
      <c r="DS146" s="119"/>
      <c r="DT146" s="119"/>
      <c r="DU146" s="119"/>
      <c r="DV146" s="119"/>
      <c r="DW146" s="119"/>
      <c r="DX146" s="119"/>
      <c r="DY146" s="119"/>
      <c r="DZ146" s="119"/>
      <c r="EA146" s="119"/>
      <c r="EB146" s="119"/>
      <c r="EC146" s="119"/>
      <c r="ED146" s="119"/>
      <c r="EE146" s="119"/>
      <c r="EF146" s="119"/>
      <c r="EG146" s="119"/>
      <c r="EH146" s="119"/>
      <c r="EI146" s="119"/>
      <c r="EJ146" s="119"/>
      <c r="EK146" s="119"/>
      <c r="EL146" s="119"/>
      <c r="EM146" s="119"/>
      <c r="EN146" s="119"/>
      <c r="EO146" s="119"/>
      <c r="EP146" s="119"/>
      <c r="EQ146" s="119"/>
      <c r="ER146" s="119"/>
      <c r="ES146" s="119"/>
      <c r="ET146" s="119"/>
      <c r="EU146" s="119"/>
      <c r="EV146" s="119"/>
      <c r="EW146" s="119"/>
      <c r="EX146" s="119"/>
      <c r="EY146" s="119"/>
      <c r="EZ146" s="119"/>
      <c r="FA146" s="119"/>
      <c r="FB146" s="119"/>
      <c r="FC146" s="119"/>
      <c r="FD146" s="119"/>
      <c r="FE146" s="119"/>
      <c r="FF146" s="119"/>
      <c r="FG146" s="119"/>
      <c r="FH146" s="119"/>
      <c r="FI146" s="119"/>
      <c r="FJ146" s="119"/>
      <c r="FK146" s="119"/>
      <c r="FL146" s="119"/>
      <c r="FM146" s="119"/>
      <c r="FN146" s="119"/>
      <c r="FO146" s="119"/>
      <c r="FP146" s="119"/>
      <c r="FQ146" s="119"/>
      <c r="FR146" s="119"/>
      <c r="FS146" s="119"/>
      <c r="FT146" s="119"/>
      <c r="FU146" s="119"/>
      <c r="FV146" s="119"/>
      <c r="FW146" s="119"/>
      <c r="FX146" s="119"/>
      <c r="FY146" s="119"/>
      <c r="FZ146" s="119"/>
      <c r="GA146" s="119"/>
      <c r="GB146" s="119"/>
      <c r="GC146" s="119"/>
      <c r="GD146" s="119"/>
      <c r="GE146" s="119"/>
      <c r="GF146" s="119"/>
      <c r="GG146" s="119"/>
      <c r="GH146" s="119"/>
      <c r="GI146" s="119"/>
      <c r="GJ146" s="119"/>
      <c r="GK146" s="119"/>
      <c r="GL146" s="119"/>
      <c r="GM146" s="119"/>
      <c r="GN146" s="119"/>
      <c r="GO146" s="119"/>
      <c r="GP146" s="119"/>
      <c r="GQ146" s="119"/>
      <c r="GR146" s="119"/>
      <c r="GS146" s="119"/>
      <c r="GT146" s="119"/>
      <c r="GU146" s="119"/>
      <c r="GV146" s="119"/>
      <c r="GW146" s="119"/>
      <c r="GX146" s="119"/>
      <c r="GY146" s="119"/>
      <c r="GZ146" s="119"/>
      <c r="HA146" s="119"/>
      <c r="HB146" s="119"/>
      <c r="HC146" s="119"/>
      <c r="HD146" s="119"/>
      <c r="HE146" s="119"/>
      <c r="HF146" s="119"/>
      <c r="HG146" s="119"/>
      <c r="HH146" s="119"/>
      <c r="HI146" s="119"/>
      <c r="HJ146" s="119"/>
      <c r="HK146" s="119"/>
      <c r="HL146" s="119"/>
      <c r="HM146" s="119"/>
      <c r="HN146" s="119"/>
      <c r="HO146" s="119"/>
      <c r="HP146" s="119"/>
      <c r="HQ146" s="119"/>
      <c r="HR146" s="119"/>
      <c r="HS146" s="119"/>
      <c r="HT146" s="119"/>
      <c r="HU146" s="119"/>
      <c r="HV146" s="119"/>
      <c r="HW146" s="119"/>
      <c r="HX146" s="119"/>
      <c r="HY146" s="119"/>
      <c r="HZ146" s="119"/>
      <c r="IA146" s="119"/>
      <c r="IB146" s="119"/>
      <c r="IC146" s="119"/>
      <c r="ID146" s="119"/>
      <c r="IE146" s="119"/>
      <c r="IF146" s="119"/>
      <c r="IG146" s="119"/>
      <c r="IH146" s="119"/>
      <c r="II146" s="119"/>
      <c r="IJ146" s="119"/>
      <c r="IK146" s="119"/>
      <c r="IL146" s="119"/>
      <c r="IM146" s="119"/>
      <c r="IN146" s="119"/>
      <c r="IO146" s="119"/>
      <c r="IP146" s="119"/>
      <c r="IQ146" s="119"/>
      <c r="IR146" s="119"/>
      <c r="IS146" s="119"/>
      <c r="IT146" s="119"/>
      <c r="IU146" s="119"/>
      <c r="IV146" s="119"/>
      <c r="IW146" s="119"/>
    </row>
    <row r="147" spans="1:257" s="187" customFormat="1" ht="18" customHeight="1" x14ac:dyDescent="0.35">
      <c r="A147" s="195">
        <v>138</v>
      </c>
      <c r="B147" s="692"/>
      <c r="C147" s="120"/>
      <c r="D147" s="1265" t="s">
        <v>656</v>
      </c>
      <c r="E147" s="127"/>
      <c r="F147" s="127"/>
      <c r="G147" s="693"/>
      <c r="H147" s="224"/>
      <c r="I147" s="559"/>
      <c r="J147" s="559"/>
      <c r="K147" s="1282">
        <v>5334</v>
      </c>
      <c r="L147" s="1282"/>
      <c r="M147" s="1282">
        <v>123083</v>
      </c>
      <c r="N147" s="559"/>
      <c r="O147" s="1795"/>
      <c r="P147" s="1276">
        <f>SUM(I147:O147)</f>
        <v>128417</v>
      </c>
      <c r="Q147" s="694"/>
      <c r="R147" s="119"/>
      <c r="S147" s="119"/>
      <c r="T147" s="119"/>
      <c r="U147" s="119"/>
      <c r="V147" s="119"/>
      <c r="W147" s="119"/>
      <c r="X147" s="119"/>
      <c r="Y147" s="119"/>
      <c r="Z147" s="119"/>
      <c r="AA147" s="119"/>
      <c r="AB147" s="119"/>
      <c r="AC147" s="119"/>
      <c r="AD147" s="119"/>
      <c r="AE147" s="119"/>
      <c r="AF147" s="119"/>
      <c r="AG147" s="119"/>
      <c r="AH147" s="119"/>
      <c r="AI147" s="119"/>
      <c r="AJ147" s="119"/>
      <c r="AK147" s="119"/>
      <c r="AL147" s="119"/>
      <c r="AM147" s="119"/>
      <c r="AN147" s="119"/>
      <c r="AO147" s="119"/>
      <c r="AP147" s="119"/>
      <c r="AQ147" s="119"/>
      <c r="AR147" s="119"/>
      <c r="AS147" s="119"/>
      <c r="AT147" s="119"/>
      <c r="AU147" s="119"/>
      <c r="AV147" s="119"/>
      <c r="AW147" s="119"/>
      <c r="AX147" s="119"/>
      <c r="AY147" s="119"/>
      <c r="AZ147" s="119"/>
      <c r="BA147" s="119"/>
      <c r="BB147" s="119"/>
      <c r="BC147" s="119"/>
      <c r="BD147" s="119"/>
      <c r="BE147" s="119"/>
      <c r="BF147" s="119"/>
      <c r="BG147" s="119"/>
      <c r="BH147" s="119"/>
      <c r="BI147" s="119"/>
      <c r="BJ147" s="119"/>
      <c r="BK147" s="119"/>
      <c r="BL147" s="119"/>
      <c r="BM147" s="119"/>
      <c r="BN147" s="119"/>
      <c r="BO147" s="119"/>
      <c r="BP147" s="119"/>
      <c r="BQ147" s="119"/>
      <c r="BR147" s="119"/>
      <c r="BS147" s="119"/>
      <c r="BT147" s="119"/>
      <c r="BU147" s="119"/>
      <c r="BV147" s="119"/>
      <c r="BW147" s="119"/>
      <c r="BX147" s="119"/>
      <c r="BY147" s="119"/>
      <c r="BZ147" s="119"/>
      <c r="CA147" s="119"/>
      <c r="CB147" s="119"/>
      <c r="CC147" s="119"/>
      <c r="CD147" s="119"/>
      <c r="CE147" s="119"/>
      <c r="CF147" s="119"/>
      <c r="CG147" s="119"/>
      <c r="CH147" s="119"/>
      <c r="CI147" s="119"/>
      <c r="CJ147" s="119"/>
      <c r="CK147" s="119"/>
      <c r="CL147" s="119"/>
      <c r="CM147" s="119"/>
      <c r="CN147" s="119"/>
      <c r="CO147" s="119"/>
      <c r="CP147" s="119"/>
      <c r="CQ147" s="119"/>
      <c r="CR147" s="119"/>
      <c r="CS147" s="119"/>
      <c r="CT147" s="119"/>
      <c r="CU147" s="119"/>
      <c r="CV147" s="119"/>
      <c r="CW147" s="119"/>
      <c r="CX147" s="119"/>
      <c r="CY147" s="119"/>
      <c r="CZ147" s="119"/>
      <c r="DA147" s="119"/>
      <c r="DB147" s="119"/>
      <c r="DC147" s="119"/>
      <c r="DD147" s="119"/>
      <c r="DE147" s="119"/>
      <c r="DF147" s="119"/>
      <c r="DG147" s="119"/>
      <c r="DH147" s="119"/>
      <c r="DI147" s="119"/>
      <c r="DJ147" s="119"/>
      <c r="DK147" s="119"/>
      <c r="DL147" s="119"/>
      <c r="DM147" s="119"/>
      <c r="DN147" s="119"/>
      <c r="DO147" s="119"/>
      <c r="DP147" s="119"/>
      <c r="DQ147" s="119"/>
      <c r="DR147" s="119"/>
      <c r="DS147" s="119"/>
      <c r="DT147" s="119"/>
      <c r="DU147" s="119"/>
      <c r="DV147" s="119"/>
      <c r="DW147" s="119"/>
      <c r="DX147" s="119"/>
      <c r="DY147" s="119"/>
      <c r="DZ147" s="119"/>
      <c r="EA147" s="119"/>
      <c r="EB147" s="119"/>
      <c r="EC147" s="119"/>
      <c r="ED147" s="119"/>
      <c r="EE147" s="119"/>
      <c r="EF147" s="119"/>
      <c r="EG147" s="119"/>
      <c r="EH147" s="119"/>
      <c r="EI147" s="119"/>
      <c r="EJ147" s="119"/>
      <c r="EK147" s="119"/>
      <c r="EL147" s="119"/>
      <c r="EM147" s="119"/>
      <c r="EN147" s="119"/>
      <c r="EO147" s="119"/>
      <c r="EP147" s="119"/>
      <c r="EQ147" s="119"/>
      <c r="ER147" s="119"/>
      <c r="ES147" s="119"/>
      <c r="ET147" s="119"/>
      <c r="EU147" s="119"/>
      <c r="EV147" s="119"/>
      <c r="EW147" s="119"/>
      <c r="EX147" s="119"/>
      <c r="EY147" s="119"/>
      <c r="EZ147" s="119"/>
      <c r="FA147" s="119"/>
      <c r="FB147" s="119"/>
      <c r="FC147" s="119"/>
      <c r="FD147" s="119"/>
      <c r="FE147" s="119"/>
      <c r="FF147" s="119"/>
      <c r="FG147" s="119"/>
      <c r="FH147" s="119"/>
      <c r="FI147" s="119"/>
      <c r="FJ147" s="119"/>
      <c r="FK147" s="119"/>
      <c r="FL147" s="119"/>
      <c r="FM147" s="119"/>
      <c r="FN147" s="119"/>
      <c r="FO147" s="119"/>
      <c r="FP147" s="119"/>
      <c r="FQ147" s="119"/>
      <c r="FR147" s="119"/>
      <c r="FS147" s="119"/>
      <c r="FT147" s="119"/>
      <c r="FU147" s="119"/>
      <c r="FV147" s="119"/>
      <c r="FW147" s="119"/>
      <c r="FX147" s="119"/>
      <c r="FY147" s="119"/>
      <c r="FZ147" s="119"/>
      <c r="GA147" s="119"/>
      <c r="GB147" s="119"/>
      <c r="GC147" s="119"/>
      <c r="GD147" s="119"/>
      <c r="GE147" s="119"/>
      <c r="GF147" s="119"/>
      <c r="GG147" s="119"/>
      <c r="GH147" s="119"/>
      <c r="GI147" s="119"/>
      <c r="GJ147" s="119"/>
      <c r="GK147" s="119"/>
      <c r="GL147" s="119"/>
      <c r="GM147" s="119"/>
      <c r="GN147" s="119"/>
      <c r="GO147" s="119"/>
      <c r="GP147" s="119"/>
      <c r="GQ147" s="119"/>
      <c r="GR147" s="119"/>
      <c r="GS147" s="119"/>
      <c r="GT147" s="119"/>
      <c r="GU147" s="119"/>
      <c r="GV147" s="119"/>
      <c r="GW147" s="119"/>
      <c r="GX147" s="119"/>
      <c r="GY147" s="119"/>
      <c r="GZ147" s="119"/>
      <c r="HA147" s="119"/>
      <c r="HB147" s="119"/>
      <c r="HC147" s="119"/>
      <c r="HD147" s="119"/>
      <c r="HE147" s="119"/>
      <c r="HF147" s="119"/>
      <c r="HG147" s="119"/>
      <c r="HH147" s="119"/>
      <c r="HI147" s="119"/>
      <c r="HJ147" s="119"/>
      <c r="HK147" s="119"/>
      <c r="HL147" s="119"/>
      <c r="HM147" s="119"/>
      <c r="HN147" s="119"/>
      <c r="HO147" s="119"/>
      <c r="HP147" s="119"/>
      <c r="HQ147" s="119"/>
      <c r="HR147" s="119"/>
      <c r="HS147" s="119"/>
      <c r="HT147" s="119"/>
      <c r="HU147" s="119"/>
      <c r="HV147" s="119"/>
      <c r="HW147" s="119"/>
      <c r="HX147" s="119"/>
      <c r="HY147" s="119"/>
      <c r="HZ147" s="119"/>
      <c r="IA147" s="119"/>
      <c r="IB147" s="119"/>
      <c r="IC147" s="119"/>
      <c r="ID147" s="119"/>
      <c r="IE147" s="119"/>
      <c r="IF147" s="119"/>
      <c r="IG147" s="119"/>
      <c r="IH147" s="119"/>
      <c r="II147" s="119"/>
      <c r="IJ147" s="119"/>
      <c r="IK147" s="119"/>
      <c r="IL147" s="119"/>
      <c r="IM147" s="119"/>
      <c r="IN147" s="119"/>
      <c r="IO147" s="119"/>
      <c r="IP147" s="119"/>
      <c r="IQ147" s="119"/>
      <c r="IR147" s="119"/>
      <c r="IS147" s="119"/>
      <c r="IT147" s="119"/>
      <c r="IU147" s="119"/>
      <c r="IV147" s="119"/>
      <c r="IW147" s="119"/>
    </row>
    <row r="148" spans="1:257" s="187" customFormat="1" ht="18" customHeight="1" x14ac:dyDescent="0.35">
      <c r="A148" s="195">
        <v>139</v>
      </c>
      <c r="B148" s="692"/>
      <c r="C148" s="120"/>
      <c r="D148" s="1268" t="s">
        <v>862</v>
      </c>
      <c r="E148" s="127"/>
      <c r="F148" s="127"/>
      <c r="G148" s="693"/>
      <c r="H148" s="224"/>
      <c r="I148" s="559"/>
      <c r="J148" s="559"/>
      <c r="K148" s="559">
        <f>SUM(K147)</f>
        <v>5334</v>
      </c>
      <c r="L148" s="559"/>
      <c r="M148" s="559">
        <f>SUM(M147)</f>
        <v>123083</v>
      </c>
      <c r="N148" s="559"/>
      <c r="O148" s="1795"/>
      <c r="P148" s="1275">
        <f>SUM(I148:O148)</f>
        <v>128417</v>
      </c>
      <c r="Q148" s="694"/>
      <c r="R148" s="119"/>
      <c r="S148" s="119"/>
      <c r="T148" s="119"/>
      <c r="U148" s="119"/>
      <c r="V148" s="119"/>
      <c r="W148" s="119"/>
      <c r="X148" s="119"/>
      <c r="Y148" s="119"/>
      <c r="Z148" s="119"/>
      <c r="AA148" s="119"/>
      <c r="AB148" s="119"/>
      <c r="AC148" s="119"/>
      <c r="AD148" s="119"/>
      <c r="AE148" s="119"/>
      <c r="AF148" s="119"/>
      <c r="AG148" s="119"/>
      <c r="AH148" s="119"/>
      <c r="AI148" s="119"/>
      <c r="AJ148" s="119"/>
      <c r="AK148" s="119"/>
      <c r="AL148" s="119"/>
      <c r="AM148" s="119"/>
      <c r="AN148" s="119"/>
      <c r="AO148" s="119"/>
      <c r="AP148" s="119"/>
      <c r="AQ148" s="119"/>
      <c r="AR148" s="119"/>
      <c r="AS148" s="119"/>
      <c r="AT148" s="119"/>
      <c r="AU148" s="119"/>
      <c r="AV148" s="119"/>
      <c r="AW148" s="119"/>
      <c r="AX148" s="119"/>
      <c r="AY148" s="119"/>
      <c r="AZ148" s="119"/>
      <c r="BA148" s="119"/>
      <c r="BB148" s="119"/>
      <c r="BC148" s="119"/>
      <c r="BD148" s="119"/>
      <c r="BE148" s="119"/>
      <c r="BF148" s="119"/>
      <c r="BG148" s="119"/>
      <c r="BH148" s="119"/>
      <c r="BI148" s="119"/>
      <c r="BJ148" s="119"/>
      <c r="BK148" s="119"/>
      <c r="BL148" s="119"/>
      <c r="BM148" s="119"/>
      <c r="BN148" s="119"/>
      <c r="BO148" s="119"/>
      <c r="BP148" s="119"/>
      <c r="BQ148" s="119"/>
      <c r="BR148" s="119"/>
      <c r="BS148" s="119"/>
      <c r="BT148" s="119"/>
      <c r="BU148" s="119"/>
      <c r="BV148" s="119"/>
      <c r="BW148" s="119"/>
      <c r="BX148" s="119"/>
      <c r="BY148" s="119"/>
      <c r="BZ148" s="119"/>
      <c r="CA148" s="119"/>
      <c r="CB148" s="119"/>
      <c r="CC148" s="119"/>
      <c r="CD148" s="119"/>
      <c r="CE148" s="119"/>
      <c r="CF148" s="119"/>
      <c r="CG148" s="119"/>
      <c r="CH148" s="119"/>
      <c r="CI148" s="119"/>
      <c r="CJ148" s="119"/>
      <c r="CK148" s="119"/>
      <c r="CL148" s="119"/>
      <c r="CM148" s="119"/>
      <c r="CN148" s="119"/>
      <c r="CO148" s="119"/>
      <c r="CP148" s="119"/>
      <c r="CQ148" s="119"/>
      <c r="CR148" s="119"/>
      <c r="CS148" s="119"/>
      <c r="CT148" s="119"/>
      <c r="CU148" s="119"/>
      <c r="CV148" s="119"/>
      <c r="CW148" s="119"/>
      <c r="CX148" s="119"/>
      <c r="CY148" s="119"/>
      <c r="CZ148" s="119"/>
      <c r="DA148" s="119"/>
      <c r="DB148" s="119"/>
      <c r="DC148" s="119"/>
      <c r="DD148" s="119"/>
      <c r="DE148" s="119"/>
      <c r="DF148" s="119"/>
      <c r="DG148" s="119"/>
      <c r="DH148" s="119"/>
      <c r="DI148" s="119"/>
      <c r="DJ148" s="119"/>
      <c r="DK148" s="119"/>
      <c r="DL148" s="119"/>
      <c r="DM148" s="119"/>
      <c r="DN148" s="119"/>
      <c r="DO148" s="119"/>
      <c r="DP148" s="119"/>
      <c r="DQ148" s="119"/>
      <c r="DR148" s="119"/>
      <c r="DS148" s="119"/>
      <c r="DT148" s="119"/>
      <c r="DU148" s="119"/>
      <c r="DV148" s="119"/>
      <c r="DW148" s="119"/>
      <c r="DX148" s="119"/>
      <c r="DY148" s="119"/>
      <c r="DZ148" s="119"/>
      <c r="EA148" s="119"/>
      <c r="EB148" s="119"/>
      <c r="EC148" s="119"/>
      <c r="ED148" s="119"/>
      <c r="EE148" s="119"/>
      <c r="EF148" s="119"/>
      <c r="EG148" s="119"/>
      <c r="EH148" s="119"/>
      <c r="EI148" s="119"/>
      <c r="EJ148" s="119"/>
      <c r="EK148" s="119"/>
      <c r="EL148" s="119"/>
      <c r="EM148" s="119"/>
      <c r="EN148" s="119"/>
      <c r="EO148" s="119"/>
      <c r="EP148" s="119"/>
      <c r="EQ148" s="119"/>
      <c r="ER148" s="119"/>
      <c r="ES148" s="119"/>
      <c r="ET148" s="119"/>
      <c r="EU148" s="119"/>
      <c r="EV148" s="119"/>
      <c r="EW148" s="119"/>
      <c r="EX148" s="119"/>
      <c r="EY148" s="119"/>
      <c r="EZ148" s="119"/>
      <c r="FA148" s="119"/>
      <c r="FB148" s="119"/>
      <c r="FC148" s="119"/>
      <c r="FD148" s="119"/>
      <c r="FE148" s="119"/>
      <c r="FF148" s="119"/>
      <c r="FG148" s="119"/>
      <c r="FH148" s="119"/>
      <c r="FI148" s="119"/>
      <c r="FJ148" s="119"/>
      <c r="FK148" s="119"/>
      <c r="FL148" s="119"/>
      <c r="FM148" s="119"/>
      <c r="FN148" s="119"/>
      <c r="FO148" s="119"/>
      <c r="FP148" s="119"/>
      <c r="FQ148" s="119"/>
      <c r="FR148" s="119"/>
      <c r="FS148" s="119"/>
      <c r="FT148" s="119"/>
      <c r="FU148" s="119"/>
      <c r="FV148" s="119"/>
      <c r="FW148" s="119"/>
      <c r="FX148" s="119"/>
      <c r="FY148" s="119"/>
      <c r="FZ148" s="119"/>
      <c r="GA148" s="119"/>
      <c r="GB148" s="119"/>
      <c r="GC148" s="119"/>
      <c r="GD148" s="119"/>
      <c r="GE148" s="119"/>
      <c r="GF148" s="119"/>
      <c r="GG148" s="119"/>
      <c r="GH148" s="119"/>
      <c r="GI148" s="119"/>
      <c r="GJ148" s="119"/>
      <c r="GK148" s="119"/>
      <c r="GL148" s="119"/>
      <c r="GM148" s="119"/>
      <c r="GN148" s="119"/>
      <c r="GO148" s="119"/>
      <c r="GP148" s="119"/>
      <c r="GQ148" s="119"/>
      <c r="GR148" s="119"/>
      <c r="GS148" s="119"/>
      <c r="GT148" s="119"/>
      <c r="GU148" s="119"/>
      <c r="GV148" s="119"/>
      <c r="GW148" s="119"/>
      <c r="GX148" s="119"/>
      <c r="GY148" s="119"/>
      <c r="GZ148" s="119"/>
      <c r="HA148" s="119"/>
      <c r="HB148" s="119"/>
      <c r="HC148" s="119"/>
      <c r="HD148" s="119"/>
      <c r="HE148" s="119"/>
      <c r="HF148" s="119"/>
      <c r="HG148" s="119"/>
      <c r="HH148" s="119"/>
      <c r="HI148" s="119"/>
      <c r="HJ148" s="119"/>
      <c r="HK148" s="119"/>
      <c r="HL148" s="119"/>
      <c r="HM148" s="119"/>
      <c r="HN148" s="119"/>
      <c r="HO148" s="119"/>
      <c r="HP148" s="119"/>
      <c r="HQ148" s="119"/>
      <c r="HR148" s="119"/>
      <c r="HS148" s="119"/>
      <c r="HT148" s="119"/>
      <c r="HU148" s="119"/>
      <c r="HV148" s="119"/>
      <c r="HW148" s="119"/>
      <c r="HX148" s="119"/>
      <c r="HY148" s="119"/>
      <c r="HZ148" s="119"/>
      <c r="IA148" s="119"/>
      <c r="IB148" s="119"/>
      <c r="IC148" s="119"/>
      <c r="ID148" s="119"/>
      <c r="IE148" s="119"/>
      <c r="IF148" s="119"/>
      <c r="IG148" s="119"/>
      <c r="IH148" s="119"/>
      <c r="II148" s="119"/>
      <c r="IJ148" s="119"/>
      <c r="IK148" s="119"/>
      <c r="IL148" s="119"/>
      <c r="IM148" s="119"/>
      <c r="IN148" s="119"/>
      <c r="IO148" s="119"/>
      <c r="IP148" s="119"/>
      <c r="IQ148" s="119"/>
      <c r="IR148" s="119"/>
      <c r="IS148" s="119"/>
      <c r="IT148" s="119"/>
      <c r="IU148" s="119"/>
      <c r="IV148" s="119"/>
      <c r="IW148" s="119"/>
    </row>
    <row r="149" spans="1:257" s="187" customFormat="1" ht="34.5" customHeight="1" x14ac:dyDescent="0.35">
      <c r="A149" s="195">
        <v>140</v>
      </c>
      <c r="B149" s="692"/>
      <c r="C149" s="120">
        <v>48</v>
      </c>
      <c r="D149" s="688" t="s">
        <v>1024</v>
      </c>
      <c r="E149" s="127">
        <f>F149+G149+P151+Q150</f>
        <v>265801</v>
      </c>
      <c r="F149" s="127"/>
      <c r="G149" s="693"/>
      <c r="H149" s="224" t="s">
        <v>24</v>
      </c>
      <c r="I149" s="559"/>
      <c r="J149" s="559"/>
      <c r="K149" s="559"/>
      <c r="L149" s="559"/>
      <c r="M149" s="559"/>
      <c r="N149" s="559"/>
      <c r="O149" s="1795"/>
      <c r="P149" s="1275"/>
      <c r="Q149" s="694"/>
      <c r="R149" s="119"/>
      <c r="S149" s="119"/>
      <c r="T149" s="119"/>
      <c r="U149" s="119"/>
      <c r="V149" s="119"/>
      <c r="W149" s="119"/>
      <c r="X149" s="119"/>
      <c r="Y149" s="119"/>
      <c r="Z149" s="119"/>
      <c r="AA149" s="119"/>
      <c r="AB149" s="119"/>
      <c r="AC149" s="119"/>
      <c r="AD149" s="119"/>
      <c r="AE149" s="119"/>
      <c r="AF149" s="119"/>
      <c r="AG149" s="119"/>
      <c r="AH149" s="119"/>
      <c r="AI149" s="119"/>
      <c r="AJ149" s="119"/>
      <c r="AK149" s="119"/>
      <c r="AL149" s="119"/>
      <c r="AM149" s="119"/>
      <c r="AN149" s="119"/>
      <c r="AO149" s="119"/>
      <c r="AP149" s="119"/>
      <c r="AQ149" s="119"/>
      <c r="AR149" s="119"/>
      <c r="AS149" s="119"/>
      <c r="AT149" s="119"/>
      <c r="AU149" s="119"/>
      <c r="AV149" s="119"/>
      <c r="AW149" s="119"/>
      <c r="AX149" s="119"/>
      <c r="AY149" s="119"/>
      <c r="AZ149" s="119"/>
      <c r="BA149" s="119"/>
      <c r="BB149" s="119"/>
      <c r="BC149" s="119"/>
      <c r="BD149" s="119"/>
      <c r="BE149" s="119"/>
      <c r="BF149" s="119"/>
      <c r="BG149" s="119"/>
      <c r="BH149" s="119"/>
      <c r="BI149" s="119"/>
      <c r="BJ149" s="119"/>
      <c r="BK149" s="119"/>
      <c r="BL149" s="119"/>
      <c r="BM149" s="119"/>
      <c r="BN149" s="119"/>
      <c r="BO149" s="119"/>
      <c r="BP149" s="119"/>
      <c r="BQ149" s="119"/>
      <c r="BR149" s="119"/>
      <c r="BS149" s="119"/>
      <c r="BT149" s="119"/>
      <c r="BU149" s="119"/>
      <c r="BV149" s="119"/>
      <c r="BW149" s="119"/>
      <c r="BX149" s="119"/>
      <c r="BY149" s="119"/>
      <c r="BZ149" s="119"/>
      <c r="CA149" s="119"/>
      <c r="CB149" s="119"/>
      <c r="CC149" s="119"/>
      <c r="CD149" s="119"/>
      <c r="CE149" s="119"/>
      <c r="CF149" s="119"/>
      <c r="CG149" s="119"/>
      <c r="CH149" s="119"/>
      <c r="CI149" s="119"/>
      <c r="CJ149" s="119"/>
      <c r="CK149" s="119"/>
      <c r="CL149" s="119"/>
      <c r="CM149" s="119"/>
      <c r="CN149" s="119"/>
      <c r="CO149" s="119"/>
      <c r="CP149" s="119"/>
      <c r="CQ149" s="119"/>
      <c r="CR149" s="119"/>
      <c r="CS149" s="119"/>
      <c r="CT149" s="119"/>
      <c r="CU149" s="119"/>
      <c r="CV149" s="119"/>
      <c r="CW149" s="119"/>
      <c r="CX149" s="119"/>
      <c r="CY149" s="119"/>
      <c r="CZ149" s="119"/>
      <c r="DA149" s="119"/>
      <c r="DB149" s="119"/>
      <c r="DC149" s="119"/>
      <c r="DD149" s="119"/>
      <c r="DE149" s="119"/>
      <c r="DF149" s="119"/>
      <c r="DG149" s="119"/>
      <c r="DH149" s="119"/>
      <c r="DI149" s="119"/>
      <c r="DJ149" s="119"/>
      <c r="DK149" s="119"/>
      <c r="DL149" s="119"/>
      <c r="DM149" s="119"/>
      <c r="DN149" s="119"/>
      <c r="DO149" s="119"/>
      <c r="DP149" s="119"/>
      <c r="DQ149" s="119"/>
      <c r="DR149" s="119"/>
      <c r="DS149" s="119"/>
      <c r="DT149" s="119"/>
      <c r="DU149" s="119"/>
      <c r="DV149" s="119"/>
      <c r="DW149" s="119"/>
      <c r="DX149" s="119"/>
      <c r="DY149" s="119"/>
      <c r="DZ149" s="119"/>
      <c r="EA149" s="119"/>
      <c r="EB149" s="119"/>
      <c r="EC149" s="119"/>
      <c r="ED149" s="119"/>
      <c r="EE149" s="119"/>
      <c r="EF149" s="119"/>
      <c r="EG149" s="119"/>
      <c r="EH149" s="119"/>
      <c r="EI149" s="119"/>
      <c r="EJ149" s="119"/>
      <c r="EK149" s="119"/>
      <c r="EL149" s="119"/>
      <c r="EM149" s="119"/>
      <c r="EN149" s="119"/>
      <c r="EO149" s="119"/>
      <c r="EP149" s="119"/>
      <c r="EQ149" s="119"/>
      <c r="ER149" s="119"/>
      <c r="ES149" s="119"/>
      <c r="ET149" s="119"/>
      <c r="EU149" s="119"/>
      <c r="EV149" s="119"/>
      <c r="EW149" s="119"/>
      <c r="EX149" s="119"/>
      <c r="EY149" s="119"/>
      <c r="EZ149" s="119"/>
      <c r="FA149" s="119"/>
      <c r="FB149" s="119"/>
      <c r="FC149" s="119"/>
      <c r="FD149" s="119"/>
      <c r="FE149" s="119"/>
      <c r="FF149" s="119"/>
      <c r="FG149" s="119"/>
      <c r="FH149" s="119"/>
      <c r="FI149" s="119"/>
      <c r="FJ149" s="119"/>
      <c r="FK149" s="119"/>
      <c r="FL149" s="119"/>
      <c r="FM149" s="119"/>
      <c r="FN149" s="119"/>
      <c r="FO149" s="119"/>
      <c r="FP149" s="119"/>
      <c r="FQ149" s="119"/>
      <c r="FR149" s="119"/>
      <c r="FS149" s="119"/>
      <c r="FT149" s="119"/>
      <c r="FU149" s="119"/>
      <c r="FV149" s="119"/>
      <c r="FW149" s="119"/>
      <c r="FX149" s="119"/>
      <c r="FY149" s="119"/>
      <c r="FZ149" s="119"/>
      <c r="GA149" s="119"/>
      <c r="GB149" s="119"/>
      <c r="GC149" s="119"/>
      <c r="GD149" s="119"/>
      <c r="GE149" s="119"/>
      <c r="GF149" s="119"/>
      <c r="GG149" s="119"/>
      <c r="GH149" s="119"/>
      <c r="GI149" s="119"/>
      <c r="GJ149" s="119"/>
      <c r="GK149" s="119"/>
      <c r="GL149" s="119"/>
      <c r="GM149" s="119"/>
      <c r="GN149" s="119"/>
      <c r="GO149" s="119"/>
      <c r="GP149" s="119"/>
      <c r="GQ149" s="119"/>
      <c r="GR149" s="119"/>
      <c r="GS149" s="119"/>
      <c r="GT149" s="119"/>
      <c r="GU149" s="119"/>
      <c r="GV149" s="119"/>
      <c r="GW149" s="119"/>
      <c r="GX149" s="119"/>
      <c r="GY149" s="119"/>
      <c r="GZ149" s="119"/>
      <c r="HA149" s="119"/>
      <c r="HB149" s="119"/>
      <c r="HC149" s="119"/>
      <c r="HD149" s="119"/>
      <c r="HE149" s="119"/>
      <c r="HF149" s="119"/>
      <c r="HG149" s="119"/>
      <c r="HH149" s="119"/>
      <c r="HI149" s="119"/>
      <c r="HJ149" s="119"/>
      <c r="HK149" s="119"/>
      <c r="HL149" s="119"/>
      <c r="HM149" s="119"/>
      <c r="HN149" s="119"/>
      <c r="HO149" s="119"/>
      <c r="HP149" s="119"/>
      <c r="HQ149" s="119"/>
      <c r="HR149" s="119"/>
      <c r="HS149" s="119"/>
      <c r="HT149" s="119"/>
      <c r="HU149" s="119"/>
      <c r="HV149" s="119"/>
      <c r="HW149" s="119"/>
      <c r="HX149" s="119"/>
      <c r="HY149" s="119"/>
      <c r="HZ149" s="119"/>
      <c r="IA149" s="119"/>
      <c r="IB149" s="119"/>
      <c r="IC149" s="119"/>
      <c r="ID149" s="119"/>
      <c r="IE149" s="119"/>
      <c r="IF149" s="119"/>
      <c r="IG149" s="119"/>
      <c r="IH149" s="119"/>
      <c r="II149" s="119"/>
      <c r="IJ149" s="119"/>
      <c r="IK149" s="119"/>
      <c r="IL149" s="119"/>
      <c r="IM149" s="119"/>
      <c r="IN149" s="119"/>
      <c r="IO149" s="119"/>
      <c r="IP149" s="119"/>
      <c r="IQ149" s="119"/>
      <c r="IR149" s="119"/>
      <c r="IS149" s="119"/>
      <c r="IT149" s="119"/>
      <c r="IU149" s="119"/>
      <c r="IV149" s="119"/>
      <c r="IW149" s="119"/>
    </row>
    <row r="150" spans="1:257" s="187" customFormat="1" ht="18" customHeight="1" x14ac:dyDescent="0.35">
      <c r="A150" s="195">
        <v>141</v>
      </c>
      <c r="B150" s="692"/>
      <c r="C150" s="120"/>
      <c r="D150" s="1265" t="s">
        <v>656</v>
      </c>
      <c r="E150" s="127"/>
      <c r="F150" s="127"/>
      <c r="G150" s="693"/>
      <c r="H150" s="224"/>
      <c r="I150" s="559"/>
      <c r="J150" s="559"/>
      <c r="K150" s="1282">
        <v>10350</v>
      </c>
      <c r="L150" s="1282"/>
      <c r="M150" s="1282">
        <v>255451</v>
      </c>
      <c r="N150" s="559"/>
      <c r="O150" s="1795"/>
      <c r="P150" s="1276">
        <f>SUM(I150:O150)</f>
        <v>265801</v>
      </c>
      <c r="Q150" s="694"/>
      <c r="R150" s="119"/>
      <c r="S150" s="119"/>
      <c r="T150" s="119"/>
      <c r="U150" s="119"/>
      <c r="V150" s="119"/>
      <c r="W150" s="119"/>
      <c r="X150" s="119"/>
      <c r="Y150" s="119"/>
      <c r="Z150" s="119"/>
      <c r="AA150" s="119"/>
      <c r="AB150" s="119"/>
      <c r="AC150" s="119"/>
      <c r="AD150" s="119"/>
      <c r="AE150" s="119"/>
      <c r="AF150" s="119"/>
      <c r="AG150" s="119"/>
      <c r="AH150" s="119"/>
      <c r="AI150" s="119"/>
      <c r="AJ150" s="119"/>
      <c r="AK150" s="119"/>
      <c r="AL150" s="119"/>
      <c r="AM150" s="119"/>
      <c r="AN150" s="119"/>
      <c r="AO150" s="119"/>
      <c r="AP150" s="119"/>
      <c r="AQ150" s="119"/>
      <c r="AR150" s="119"/>
      <c r="AS150" s="119"/>
      <c r="AT150" s="119"/>
      <c r="AU150" s="119"/>
      <c r="AV150" s="119"/>
      <c r="AW150" s="119"/>
      <c r="AX150" s="119"/>
      <c r="AY150" s="119"/>
      <c r="AZ150" s="119"/>
      <c r="BA150" s="119"/>
      <c r="BB150" s="119"/>
      <c r="BC150" s="119"/>
      <c r="BD150" s="119"/>
      <c r="BE150" s="119"/>
      <c r="BF150" s="119"/>
      <c r="BG150" s="119"/>
      <c r="BH150" s="119"/>
      <c r="BI150" s="119"/>
      <c r="BJ150" s="119"/>
      <c r="BK150" s="119"/>
      <c r="BL150" s="119"/>
      <c r="BM150" s="119"/>
      <c r="BN150" s="119"/>
      <c r="BO150" s="119"/>
      <c r="BP150" s="119"/>
      <c r="BQ150" s="119"/>
      <c r="BR150" s="119"/>
      <c r="BS150" s="119"/>
      <c r="BT150" s="119"/>
      <c r="BU150" s="119"/>
      <c r="BV150" s="119"/>
      <c r="BW150" s="119"/>
      <c r="BX150" s="119"/>
      <c r="BY150" s="119"/>
      <c r="BZ150" s="119"/>
      <c r="CA150" s="119"/>
      <c r="CB150" s="119"/>
      <c r="CC150" s="119"/>
      <c r="CD150" s="119"/>
      <c r="CE150" s="119"/>
      <c r="CF150" s="119"/>
      <c r="CG150" s="119"/>
      <c r="CH150" s="119"/>
      <c r="CI150" s="119"/>
      <c r="CJ150" s="119"/>
      <c r="CK150" s="119"/>
      <c r="CL150" s="119"/>
      <c r="CM150" s="119"/>
      <c r="CN150" s="119"/>
      <c r="CO150" s="119"/>
      <c r="CP150" s="119"/>
      <c r="CQ150" s="119"/>
      <c r="CR150" s="119"/>
      <c r="CS150" s="119"/>
      <c r="CT150" s="119"/>
      <c r="CU150" s="119"/>
      <c r="CV150" s="119"/>
      <c r="CW150" s="119"/>
      <c r="CX150" s="119"/>
      <c r="CY150" s="119"/>
      <c r="CZ150" s="119"/>
      <c r="DA150" s="119"/>
      <c r="DB150" s="119"/>
      <c r="DC150" s="119"/>
      <c r="DD150" s="119"/>
      <c r="DE150" s="119"/>
      <c r="DF150" s="119"/>
      <c r="DG150" s="119"/>
      <c r="DH150" s="119"/>
      <c r="DI150" s="119"/>
      <c r="DJ150" s="119"/>
      <c r="DK150" s="119"/>
      <c r="DL150" s="119"/>
      <c r="DM150" s="119"/>
      <c r="DN150" s="119"/>
      <c r="DO150" s="119"/>
      <c r="DP150" s="119"/>
      <c r="DQ150" s="119"/>
      <c r="DR150" s="119"/>
      <c r="DS150" s="119"/>
      <c r="DT150" s="119"/>
      <c r="DU150" s="119"/>
      <c r="DV150" s="119"/>
      <c r="DW150" s="119"/>
      <c r="DX150" s="119"/>
      <c r="DY150" s="119"/>
      <c r="DZ150" s="119"/>
      <c r="EA150" s="119"/>
      <c r="EB150" s="119"/>
      <c r="EC150" s="119"/>
      <c r="ED150" s="119"/>
      <c r="EE150" s="119"/>
      <c r="EF150" s="119"/>
      <c r="EG150" s="119"/>
      <c r="EH150" s="119"/>
      <c r="EI150" s="119"/>
      <c r="EJ150" s="119"/>
      <c r="EK150" s="119"/>
      <c r="EL150" s="119"/>
      <c r="EM150" s="119"/>
      <c r="EN150" s="119"/>
      <c r="EO150" s="119"/>
      <c r="EP150" s="119"/>
      <c r="EQ150" s="119"/>
      <c r="ER150" s="119"/>
      <c r="ES150" s="119"/>
      <c r="ET150" s="119"/>
      <c r="EU150" s="119"/>
      <c r="EV150" s="119"/>
      <c r="EW150" s="119"/>
      <c r="EX150" s="119"/>
      <c r="EY150" s="119"/>
      <c r="EZ150" s="119"/>
      <c r="FA150" s="119"/>
      <c r="FB150" s="119"/>
      <c r="FC150" s="119"/>
      <c r="FD150" s="119"/>
      <c r="FE150" s="119"/>
      <c r="FF150" s="119"/>
      <c r="FG150" s="119"/>
      <c r="FH150" s="119"/>
      <c r="FI150" s="119"/>
      <c r="FJ150" s="119"/>
      <c r="FK150" s="119"/>
      <c r="FL150" s="119"/>
      <c r="FM150" s="119"/>
      <c r="FN150" s="119"/>
      <c r="FO150" s="119"/>
      <c r="FP150" s="119"/>
      <c r="FQ150" s="119"/>
      <c r="FR150" s="119"/>
      <c r="FS150" s="119"/>
      <c r="FT150" s="119"/>
      <c r="FU150" s="119"/>
      <c r="FV150" s="119"/>
      <c r="FW150" s="119"/>
      <c r="FX150" s="119"/>
      <c r="FY150" s="119"/>
      <c r="FZ150" s="119"/>
      <c r="GA150" s="119"/>
      <c r="GB150" s="119"/>
      <c r="GC150" s="119"/>
      <c r="GD150" s="119"/>
      <c r="GE150" s="119"/>
      <c r="GF150" s="119"/>
      <c r="GG150" s="119"/>
      <c r="GH150" s="119"/>
      <c r="GI150" s="119"/>
      <c r="GJ150" s="119"/>
      <c r="GK150" s="119"/>
      <c r="GL150" s="119"/>
      <c r="GM150" s="119"/>
      <c r="GN150" s="119"/>
      <c r="GO150" s="119"/>
      <c r="GP150" s="119"/>
      <c r="GQ150" s="119"/>
      <c r="GR150" s="119"/>
      <c r="GS150" s="119"/>
      <c r="GT150" s="119"/>
      <c r="GU150" s="119"/>
      <c r="GV150" s="119"/>
      <c r="GW150" s="119"/>
      <c r="GX150" s="119"/>
      <c r="GY150" s="119"/>
      <c r="GZ150" s="119"/>
      <c r="HA150" s="119"/>
      <c r="HB150" s="119"/>
      <c r="HC150" s="119"/>
      <c r="HD150" s="119"/>
      <c r="HE150" s="119"/>
      <c r="HF150" s="119"/>
      <c r="HG150" s="119"/>
      <c r="HH150" s="119"/>
      <c r="HI150" s="119"/>
      <c r="HJ150" s="119"/>
      <c r="HK150" s="119"/>
      <c r="HL150" s="119"/>
      <c r="HM150" s="119"/>
      <c r="HN150" s="119"/>
      <c r="HO150" s="119"/>
      <c r="HP150" s="119"/>
      <c r="HQ150" s="119"/>
      <c r="HR150" s="119"/>
      <c r="HS150" s="119"/>
      <c r="HT150" s="119"/>
      <c r="HU150" s="119"/>
      <c r="HV150" s="119"/>
      <c r="HW150" s="119"/>
      <c r="HX150" s="119"/>
      <c r="HY150" s="119"/>
      <c r="HZ150" s="119"/>
      <c r="IA150" s="119"/>
      <c r="IB150" s="119"/>
      <c r="IC150" s="119"/>
      <c r="ID150" s="119"/>
      <c r="IE150" s="119"/>
      <c r="IF150" s="119"/>
      <c r="IG150" s="119"/>
      <c r="IH150" s="119"/>
      <c r="II150" s="119"/>
      <c r="IJ150" s="119"/>
      <c r="IK150" s="119"/>
      <c r="IL150" s="119"/>
      <c r="IM150" s="119"/>
      <c r="IN150" s="119"/>
      <c r="IO150" s="119"/>
      <c r="IP150" s="119"/>
      <c r="IQ150" s="119"/>
      <c r="IR150" s="119"/>
      <c r="IS150" s="119"/>
      <c r="IT150" s="119"/>
      <c r="IU150" s="119"/>
      <c r="IV150" s="119"/>
      <c r="IW150" s="119"/>
    </row>
    <row r="151" spans="1:257" s="187" customFormat="1" ht="18" customHeight="1" x14ac:dyDescent="0.35">
      <c r="A151" s="195">
        <v>142</v>
      </c>
      <c r="B151" s="692"/>
      <c r="C151" s="120"/>
      <c r="D151" s="1268" t="s">
        <v>862</v>
      </c>
      <c r="E151" s="127"/>
      <c r="F151" s="127"/>
      <c r="G151" s="693"/>
      <c r="H151" s="224"/>
      <c r="I151" s="559"/>
      <c r="J151" s="559"/>
      <c r="K151" s="559">
        <f>SUM(K150)</f>
        <v>10350</v>
      </c>
      <c r="L151" s="559"/>
      <c r="M151" s="559">
        <f>SUM(M150)</f>
        <v>255451</v>
      </c>
      <c r="N151" s="559"/>
      <c r="O151" s="1795"/>
      <c r="P151" s="1275">
        <f>SUM(I151:O151)</f>
        <v>265801</v>
      </c>
      <c r="Q151" s="694"/>
      <c r="R151" s="119"/>
      <c r="S151" s="119"/>
      <c r="T151" s="119"/>
      <c r="U151" s="119"/>
      <c r="V151" s="119"/>
      <c r="W151" s="119"/>
      <c r="X151" s="119"/>
      <c r="Y151" s="119"/>
      <c r="Z151" s="119"/>
      <c r="AA151" s="119"/>
      <c r="AB151" s="119"/>
      <c r="AC151" s="119"/>
      <c r="AD151" s="119"/>
      <c r="AE151" s="119"/>
      <c r="AF151" s="119"/>
      <c r="AG151" s="119"/>
      <c r="AH151" s="119"/>
      <c r="AI151" s="119"/>
      <c r="AJ151" s="119"/>
      <c r="AK151" s="119"/>
      <c r="AL151" s="119"/>
      <c r="AM151" s="119"/>
      <c r="AN151" s="119"/>
      <c r="AO151" s="119"/>
      <c r="AP151" s="119"/>
      <c r="AQ151" s="119"/>
      <c r="AR151" s="119"/>
      <c r="AS151" s="119"/>
      <c r="AT151" s="119"/>
      <c r="AU151" s="119"/>
      <c r="AV151" s="119"/>
      <c r="AW151" s="119"/>
      <c r="AX151" s="119"/>
      <c r="AY151" s="119"/>
      <c r="AZ151" s="119"/>
      <c r="BA151" s="119"/>
      <c r="BB151" s="119"/>
      <c r="BC151" s="119"/>
      <c r="BD151" s="119"/>
      <c r="BE151" s="119"/>
      <c r="BF151" s="119"/>
      <c r="BG151" s="119"/>
      <c r="BH151" s="119"/>
      <c r="BI151" s="119"/>
      <c r="BJ151" s="119"/>
      <c r="BK151" s="119"/>
      <c r="BL151" s="119"/>
      <c r="BM151" s="119"/>
      <c r="BN151" s="119"/>
      <c r="BO151" s="119"/>
      <c r="BP151" s="119"/>
      <c r="BQ151" s="119"/>
      <c r="BR151" s="119"/>
      <c r="BS151" s="119"/>
      <c r="BT151" s="119"/>
      <c r="BU151" s="119"/>
      <c r="BV151" s="119"/>
      <c r="BW151" s="119"/>
      <c r="BX151" s="119"/>
      <c r="BY151" s="119"/>
      <c r="BZ151" s="119"/>
      <c r="CA151" s="119"/>
      <c r="CB151" s="119"/>
      <c r="CC151" s="119"/>
      <c r="CD151" s="119"/>
      <c r="CE151" s="119"/>
      <c r="CF151" s="119"/>
      <c r="CG151" s="119"/>
      <c r="CH151" s="119"/>
      <c r="CI151" s="119"/>
      <c r="CJ151" s="119"/>
      <c r="CK151" s="119"/>
      <c r="CL151" s="119"/>
      <c r="CM151" s="119"/>
      <c r="CN151" s="119"/>
      <c r="CO151" s="119"/>
      <c r="CP151" s="119"/>
      <c r="CQ151" s="119"/>
      <c r="CR151" s="119"/>
      <c r="CS151" s="119"/>
      <c r="CT151" s="119"/>
      <c r="CU151" s="119"/>
      <c r="CV151" s="119"/>
      <c r="CW151" s="119"/>
      <c r="CX151" s="119"/>
      <c r="CY151" s="119"/>
      <c r="CZ151" s="119"/>
      <c r="DA151" s="119"/>
      <c r="DB151" s="119"/>
      <c r="DC151" s="119"/>
      <c r="DD151" s="119"/>
      <c r="DE151" s="119"/>
      <c r="DF151" s="119"/>
      <c r="DG151" s="119"/>
      <c r="DH151" s="119"/>
      <c r="DI151" s="119"/>
      <c r="DJ151" s="119"/>
      <c r="DK151" s="119"/>
      <c r="DL151" s="119"/>
      <c r="DM151" s="119"/>
      <c r="DN151" s="119"/>
      <c r="DO151" s="119"/>
      <c r="DP151" s="119"/>
      <c r="DQ151" s="119"/>
      <c r="DR151" s="119"/>
      <c r="DS151" s="119"/>
      <c r="DT151" s="119"/>
      <c r="DU151" s="119"/>
      <c r="DV151" s="119"/>
      <c r="DW151" s="119"/>
      <c r="DX151" s="119"/>
      <c r="DY151" s="119"/>
      <c r="DZ151" s="119"/>
      <c r="EA151" s="119"/>
      <c r="EB151" s="119"/>
      <c r="EC151" s="119"/>
      <c r="ED151" s="119"/>
      <c r="EE151" s="119"/>
      <c r="EF151" s="119"/>
      <c r="EG151" s="119"/>
      <c r="EH151" s="119"/>
      <c r="EI151" s="119"/>
      <c r="EJ151" s="119"/>
      <c r="EK151" s="119"/>
      <c r="EL151" s="119"/>
      <c r="EM151" s="119"/>
      <c r="EN151" s="119"/>
      <c r="EO151" s="119"/>
      <c r="EP151" s="119"/>
      <c r="EQ151" s="119"/>
      <c r="ER151" s="119"/>
      <c r="ES151" s="119"/>
      <c r="ET151" s="119"/>
      <c r="EU151" s="119"/>
      <c r="EV151" s="119"/>
      <c r="EW151" s="119"/>
      <c r="EX151" s="119"/>
      <c r="EY151" s="119"/>
      <c r="EZ151" s="119"/>
      <c r="FA151" s="119"/>
      <c r="FB151" s="119"/>
      <c r="FC151" s="119"/>
      <c r="FD151" s="119"/>
      <c r="FE151" s="119"/>
      <c r="FF151" s="119"/>
      <c r="FG151" s="119"/>
      <c r="FH151" s="119"/>
      <c r="FI151" s="119"/>
      <c r="FJ151" s="119"/>
      <c r="FK151" s="119"/>
      <c r="FL151" s="119"/>
      <c r="FM151" s="119"/>
      <c r="FN151" s="119"/>
      <c r="FO151" s="119"/>
      <c r="FP151" s="119"/>
      <c r="FQ151" s="119"/>
      <c r="FR151" s="119"/>
      <c r="FS151" s="119"/>
      <c r="FT151" s="119"/>
      <c r="FU151" s="119"/>
      <c r="FV151" s="119"/>
      <c r="FW151" s="119"/>
      <c r="FX151" s="119"/>
      <c r="FY151" s="119"/>
      <c r="FZ151" s="119"/>
      <c r="GA151" s="119"/>
      <c r="GB151" s="119"/>
      <c r="GC151" s="119"/>
      <c r="GD151" s="119"/>
      <c r="GE151" s="119"/>
      <c r="GF151" s="119"/>
      <c r="GG151" s="119"/>
      <c r="GH151" s="119"/>
      <c r="GI151" s="119"/>
      <c r="GJ151" s="119"/>
      <c r="GK151" s="119"/>
      <c r="GL151" s="119"/>
      <c r="GM151" s="119"/>
      <c r="GN151" s="119"/>
      <c r="GO151" s="119"/>
      <c r="GP151" s="119"/>
      <c r="GQ151" s="119"/>
      <c r="GR151" s="119"/>
      <c r="GS151" s="119"/>
      <c r="GT151" s="119"/>
      <c r="GU151" s="119"/>
      <c r="GV151" s="119"/>
      <c r="GW151" s="119"/>
      <c r="GX151" s="119"/>
      <c r="GY151" s="119"/>
      <c r="GZ151" s="119"/>
      <c r="HA151" s="119"/>
      <c r="HB151" s="119"/>
      <c r="HC151" s="119"/>
      <c r="HD151" s="119"/>
      <c r="HE151" s="119"/>
      <c r="HF151" s="119"/>
      <c r="HG151" s="119"/>
      <c r="HH151" s="119"/>
      <c r="HI151" s="119"/>
      <c r="HJ151" s="119"/>
      <c r="HK151" s="119"/>
      <c r="HL151" s="119"/>
      <c r="HM151" s="119"/>
      <c r="HN151" s="119"/>
      <c r="HO151" s="119"/>
      <c r="HP151" s="119"/>
      <c r="HQ151" s="119"/>
      <c r="HR151" s="119"/>
      <c r="HS151" s="119"/>
      <c r="HT151" s="119"/>
      <c r="HU151" s="119"/>
      <c r="HV151" s="119"/>
      <c r="HW151" s="119"/>
      <c r="HX151" s="119"/>
      <c r="HY151" s="119"/>
      <c r="HZ151" s="119"/>
      <c r="IA151" s="119"/>
      <c r="IB151" s="119"/>
      <c r="IC151" s="119"/>
      <c r="ID151" s="119"/>
      <c r="IE151" s="119"/>
      <c r="IF151" s="119"/>
      <c r="IG151" s="119"/>
      <c r="IH151" s="119"/>
      <c r="II151" s="119"/>
      <c r="IJ151" s="119"/>
      <c r="IK151" s="119"/>
      <c r="IL151" s="119"/>
      <c r="IM151" s="119"/>
      <c r="IN151" s="119"/>
      <c r="IO151" s="119"/>
      <c r="IP151" s="119"/>
      <c r="IQ151" s="119"/>
      <c r="IR151" s="119"/>
      <c r="IS151" s="119"/>
      <c r="IT151" s="119"/>
      <c r="IU151" s="119"/>
      <c r="IV151" s="119"/>
      <c r="IW151" s="119"/>
    </row>
    <row r="152" spans="1:257" s="187" customFormat="1" ht="53.25" customHeight="1" x14ac:dyDescent="0.35">
      <c r="A152" s="195">
        <v>143</v>
      </c>
      <c r="B152" s="692"/>
      <c r="C152" s="120">
        <v>49</v>
      </c>
      <c r="D152" s="688" t="s">
        <v>1025</v>
      </c>
      <c r="E152" s="127">
        <f>F152+G152+P154+Q153</f>
        <v>232172</v>
      </c>
      <c r="F152" s="127"/>
      <c r="G152" s="693"/>
      <c r="H152" s="224" t="s">
        <v>24</v>
      </c>
      <c r="I152" s="559"/>
      <c r="J152" s="559"/>
      <c r="K152" s="559"/>
      <c r="L152" s="559"/>
      <c r="M152" s="559"/>
      <c r="N152" s="559"/>
      <c r="O152" s="1795"/>
      <c r="P152" s="1272"/>
      <c r="Q152" s="694"/>
      <c r="R152" s="119"/>
      <c r="S152" s="119"/>
      <c r="T152" s="119"/>
      <c r="U152" s="119"/>
      <c r="V152" s="119"/>
      <c r="W152" s="119"/>
      <c r="X152" s="119"/>
      <c r="Y152" s="119"/>
      <c r="Z152" s="119"/>
      <c r="AA152" s="119"/>
      <c r="AB152" s="119"/>
      <c r="AC152" s="119"/>
      <c r="AD152" s="119"/>
      <c r="AE152" s="119"/>
      <c r="AF152" s="119"/>
      <c r="AG152" s="119"/>
      <c r="AH152" s="119"/>
      <c r="AI152" s="119"/>
      <c r="AJ152" s="119"/>
      <c r="AK152" s="119"/>
      <c r="AL152" s="119"/>
      <c r="AM152" s="119"/>
      <c r="AN152" s="119"/>
      <c r="AO152" s="119"/>
      <c r="AP152" s="119"/>
      <c r="AQ152" s="119"/>
      <c r="AR152" s="119"/>
      <c r="AS152" s="119"/>
      <c r="AT152" s="119"/>
      <c r="AU152" s="119"/>
      <c r="AV152" s="119"/>
      <c r="AW152" s="119"/>
      <c r="AX152" s="119"/>
      <c r="AY152" s="119"/>
      <c r="AZ152" s="119"/>
      <c r="BA152" s="119"/>
      <c r="BB152" s="119"/>
      <c r="BC152" s="119"/>
      <c r="BD152" s="119"/>
      <c r="BE152" s="119"/>
      <c r="BF152" s="119"/>
      <c r="BG152" s="119"/>
      <c r="BH152" s="119"/>
      <c r="BI152" s="119"/>
      <c r="BJ152" s="119"/>
      <c r="BK152" s="119"/>
      <c r="BL152" s="119"/>
      <c r="BM152" s="119"/>
      <c r="BN152" s="119"/>
      <c r="BO152" s="119"/>
      <c r="BP152" s="119"/>
      <c r="BQ152" s="119"/>
      <c r="BR152" s="119"/>
      <c r="BS152" s="119"/>
      <c r="BT152" s="119"/>
      <c r="BU152" s="119"/>
      <c r="BV152" s="119"/>
      <c r="BW152" s="119"/>
      <c r="BX152" s="119"/>
      <c r="BY152" s="119"/>
      <c r="BZ152" s="119"/>
      <c r="CA152" s="119"/>
      <c r="CB152" s="119"/>
      <c r="CC152" s="119"/>
      <c r="CD152" s="119"/>
      <c r="CE152" s="119"/>
      <c r="CF152" s="119"/>
      <c r="CG152" s="119"/>
      <c r="CH152" s="119"/>
      <c r="CI152" s="119"/>
      <c r="CJ152" s="119"/>
      <c r="CK152" s="119"/>
      <c r="CL152" s="119"/>
      <c r="CM152" s="119"/>
      <c r="CN152" s="119"/>
      <c r="CO152" s="119"/>
      <c r="CP152" s="119"/>
      <c r="CQ152" s="119"/>
      <c r="CR152" s="119"/>
      <c r="CS152" s="119"/>
      <c r="CT152" s="119"/>
      <c r="CU152" s="119"/>
      <c r="CV152" s="119"/>
      <c r="CW152" s="119"/>
      <c r="CX152" s="119"/>
      <c r="CY152" s="119"/>
      <c r="CZ152" s="119"/>
      <c r="DA152" s="119"/>
      <c r="DB152" s="119"/>
      <c r="DC152" s="119"/>
      <c r="DD152" s="119"/>
      <c r="DE152" s="119"/>
      <c r="DF152" s="119"/>
      <c r="DG152" s="119"/>
      <c r="DH152" s="119"/>
      <c r="DI152" s="119"/>
      <c r="DJ152" s="119"/>
      <c r="DK152" s="119"/>
      <c r="DL152" s="119"/>
      <c r="DM152" s="119"/>
      <c r="DN152" s="119"/>
      <c r="DO152" s="119"/>
      <c r="DP152" s="119"/>
      <c r="DQ152" s="119"/>
      <c r="DR152" s="119"/>
      <c r="DS152" s="119"/>
      <c r="DT152" s="119"/>
      <c r="DU152" s="119"/>
      <c r="DV152" s="119"/>
      <c r="DW152" s="119"/>
      <c r="DX152" s="119"/>
      <c r="DY152" s="119"/>
      <c r="DZ152" s="119"/>
      <c r="EA152" s="119"/>
      <c r="EB152" s="119"/>
      <c r="EC152" s="119"/>
      <c r="ED152" s="119"/>
      <c r="EE152" s="119"/>
      <c r="EF152" s="119"/>
      <c r="EG152" s="119"/>
      <c r="EH152" s="119"/>
      <c r="EI152" s="119"/>
      <c r="EJ152" s="119"/>
      <c r="EK152" s="119"/>
      <c r="EL152" s="119"/>
      <c r="EM152" s="119"/>
      <c r="EN152" s="119"/>
      <c r="EO152" s="119"/>
      <c r="EP152" s="119"/>
      <c r="EQ152" s="119"/>
      <c r="ER152" s="119"/>
      <c r="ES152" s="119"/>
      <c r="ET152" s="119"/>
      <c r="EU152" s="119"/>
      <c r="EV152" s="119"/>
      <c r="EW152" s="119"/>
      <c r="EX152" s="119"/>
      <c r="EY152" s="119"/>
      <c r="EZ152" s="119"/>
      <c r="FA152" s="119"/>
      <c r="FB152" s="119"/>
      <c r="FC152" s="119"/>
      <c r="FD152" s="119"/>
      <c r="FE152" s="119"/>
      <c r="FF152" s="119"/>
      <c r="FG152" s="119"/>
      <c r="FH152" s="119"/>
      <c r="FI152" s="119"/>
      <c r="FJ152" s="119"/>
      <c r="FK152" s="119"/>
      <c r="FL152" s="119"/>
      <c r="FM152" s="119"/>
      <c r="FN152" s="119"/>
      <c r="FO152" s="119"/>
      <c r="FP152" s="119"/>
      <c r="FQ152" s="119"/>
      <c r="FR152" s="119"/>
      <c r="FS152" s="119"/>
      <c r="FT152" s="119"/>
      <c r="FU152" s="119"/>
      <c r="FV152" s="119"/>
      <c r="FW152" s="119"/>
      <c r="FX152" s="119"/>
      <c r="FY152" s="119"/>
      <c r="FZ152" s="119"/>
      <c r="GA152" s="119"/>
      <c r="GB152" s="119"/>
      <c r="GC152" s="119"/>
      <c r="GD152" s="119"/>
      <c r="GE152" s="119"/>
      <c r="GF152" s="119"/>
      <c r="GG152" s="119"/>
      <c r="GH152" s="119"/>
      <c r="GI152" s="119"/>
      <c r="GJ152" s="119"/>
      <c r="GK152" s="119"/>
      <c r="GL152" s="119"/>
      <c r="GM152" s="119"/>
      <c r="GN152" s="119"/>
      <c r="GO152" s="119"/>
      <c r="GP152" s="119"/>
      <c r="GQ152" s="119"/>
      <c r="GR152" s="119"/>
      <c r="GS152" s="119"/>
      <c r="GT152" s="119"/>
      <c r="GU152" s="119"/>
      <c r="GV152" s="119"/>
      <c r="GW152" s="119"/>
      <c r="GX152" s="119"/>
      <c r="GY152" s="119"/>
      <c r="GZ152" s="119"/>
      <c r="HA152" s="119"/>
      <c r="HB152" s="119"/>
      <c r="HC152" s="119"/>
      <c r="HD152" s="119"/>
      <c r="HE152" s="119"/>
      <c r="HF152" s="119"/>
      <c r="HG152" s="119"/>
      <c r="HH152" s="119"/>
      <c r="HI152" s="119"/>
      <c r="HJ152" s="119"/>
      <c r="HK152" s="119"/>
      <c r="HL152" s="119"/>
      <c r="HM152" s="119"/>
      <c r="HN152" s="119"/>
      <c r="HO152" s="119"/>
      <c r="HP152" s="119"/>
      <c r="HQ152" s="119"/>
      <c r="HR152" s="119"/>
      <c r="HS152" s="119"/>
      <c r="HT152" s="119"/>
      <c r="HU152" s="119"/>
      <c r="HV152" s="119"/>
      <c r="HW152" s="119"/>
      <c r="HX152" s="119"/>
      <c r="HY152" s="119"/>
      <c r="HZ152" s="119"/>
      <c r="IA152" s="119"/>
      <c r="IB152" s="119"/>
      <c r="IC152" s="119"/>
      <c r="ID152" s="119"/>
      <c r="IE152" s="119"/>
      <c r="IF152" s="119"/>
      <c r="IG152" s="119"/>
      <c r="IH152" s="119"/>
      <c r="II152" s="119"/>
      <c r="IJ152" s="119"/>
      <c r="IK152" s="119"/>
      <c r="IL152" s="119"/>
      <c r="IM152" s="119"/>
      <c r="IN152" s="119"/>
      <c r="IO152" s="119"/>
      <c r="IP152" s="119"/>
      <c r="IQ152" s="119"/>
      <c r="IR152" s="119"/>
      <c r="IS152" s="119"/>
      <c r="IT152" s="119"/>
      <c r="IU152" s="119"/>
      <c r="IV152" s="119"/>
      <c r="IW152" s="119"/>
    </row>
    <row r="153" spans="1:257" s="187" customFormat="1" ht="18" customHeight="1" x14ac:dyDescent="0.35">
      <c r="A153" s="195">
        <v>144</v>
      </c>
      <c r="B153" s="692"/>
      <c r="C153" s="120"/>
      <c r="D153" s="1265" t="s">
        <v>656</v>
      </c>
      <c r="E153" s="127"/>
      <c r="F153" s="127"/>
      <c r="G153" s="693"/>
      <c r="H153" s="224"/>
      <c r="I153" s="559"/>
      <c r="J153" s="559"/>
      <c r="K153" s="1282">
        <v>8060</v>
      </c>
      <c r="L153" s="1282"/>
      <c r="M153" s="1282">
        <v>224112</v>
      </c>
      <c r="N153" s="559"/>
      <c r="O153" s="1795"/>
      <c r="P153" s="1276">
        <f>SUM(I153:O153)</f>
        <v>232172</v>
      </c>
      <c r="Q153" s="694"/>
      <c r="R153" s="119"/>
      <c r="S153" s="119"/>
      <c r="T153" s="119"/>
      <c r="U153" s="119"/>
      <c r="V153" s="119"/>
      <c r="W153" s="119"/>
      <c r="X153" s="119"/>
      <c r="Y153" s="119"/>
      <c r="Z153" s="119"/>
      <c r="AA153" s="119"/>
      <c r="AB153" s="119"/>
      <c r="AC153" s="119"/>
      <c r="AD153" s="119"/>
      <c r="AE153" s="119"/>
      <c r="AF153" s="119"/>
      <c r="AG153" s="119"/>
      <c r="AH153" s="119"/>
      <c r="AI153" s="119"/>
      <c r="AJ153" s="119"/>
      <c r="AK153" s="119"/>
      <c r="AL153" s="119"/>
      <c r="AM153" s="119"/>
      <c r="AN153" s="119"/>
      <c r="AO153" s="119"/>
      <c r="AP153" s="119"/>
      <c r="AQ153" s="119"/>
      <c r="AR153" s="119"/>
      <c r="AS153" s="119"/>
      <c r="AT153" s="119"/>
      <c r="AU153" s="119"/>
      <c r="AV153" s="119"/>
      <c r="AW153" s="119"/>
      <c r="AX153" s="119"/>
      <c r="AY153" s="119"/>
      <c r="AZ153" s="119"/>
      <c r="BA153" s="119"/>
      <c r="BB153" s="119"/>
      <c r="BC153" s="119"/>
      <c r="BD153" s="119"/>
      <c r="BE153" s="119"/>
      <c r="BF153" s="119"/>
      <c r="BG153" s="119"/>
      <c r="BH153" s="119"/>
      <c r="BI153" s="119"/>
      <c r="BJ153" s="119"/>
      <c r="BK153" s="119"/>
      <c r="BL153" s="119"/>
      <c r="BM153" s="119"/>
      <c r="BN153" s="119"/>
      <c r="BO153" s="119"/>
      <c r="BP153" s="119"/>
      <c r="BQ153" s="119"/>
      <c r="BR153" s="119"/>
      <c r="BS153" s="119"/>
      <c r="BT153" s="119"/>
      <c r="BU153" s="119"/>
      <c r="BV153" s="119"/>
      <c r="BW153" s="119"/>
      <c r="BX153" s="119"/>
      <c r="BY153" s="119"/>
      <c r="BZ153" s="119"/>
      <c r="CA153" s="119"/>
      <c r="CB153" s="119"/>
      <c r="CC153" s="119"/>
      <c r="CD153" s="119"/>
      <c r="CE153" s="119"/>
      <c r="CF153" s="119"/>
      <c r="CG153" s="119"/>
      <c r="CH153" s="119"/>
      <c r="CI153" s="119"/>
      <c r="CJ153" s="119"/>
      <c r="CK153" s="119"/>
      <c r="CL153" s="119"/>
      <c r="CM153" s="119"/>
      <c r="CN153" s="119"/>
      <c r="CO153" s="119"/>
      <c r="CP153" s="119"/>
      <c r="CQ153" s="119"/>
      <c r="CR153" s="119"/>
      <c r="CS153" s="119"/>
      <c r="CT153" s="119"/>
      <c r="CU153" s="119"/>
      <c r="CV153" s="119"/>
      <c r="CW153" s="119"/>
      <c r="CX153" s="119"/>
      <c r="CY153" s="119"/>
      <c r="CZ153" s="119"/>
      <c r="DA153" s="119"/>
      <c r="DB153" s="119"/>
      <c r="DC153" s="119"/>
      <c r="DD153" s="119"/>
      <c r="DE153" s="119"/>
      <c r="DF153" s="119"/>
      <c r="DG153" s="119"/>
      <c r="DH153" s="119"/>
      <c r="DI153" s="119"/>
      <c r="DJ153" s="119"/>
      <c r="DK153" s="119"/>
      <c r="DL153" s="119"/>
      <c r="DM153" s="119"/>
      <c r="DN153" s="119"/>
      <c r="DO153" s="119"/>
      <c r="DP153" s="119"/>
      <c r="DQ153" s="119"/>
      <c r="DR153" s="119"/>
      <c r="DS153" s="119"/>
      <c r="DT153" s="119"/>
      <c r="DU153" s="119"/>
      <c r="DV153" s="119"/>
      <c r="DW153" s="119"/>
      <c r="DX153" s="119"/>
      <c r="DY153" s="119"/>
      <c r="DZ153" s="119"/>
      <c r="EA153" s="119"/>
      <c r="EB153" s="119"/>
      <c r="EC153" s="119"/>
      <c r="ED153" s="119"/>
      <c r="EE153" s="119"/>
      <c r="EF153" s="119"/>
      <c r="EG153" s="119"/>
      <c r="EH153" s="119"/>
      <c r="EI153" s="119"/>
      <c r="EJ153" s="119"/>
      <c r="EK153" s="119"/>
      <c r="EL153" s="119"/>
      <c r="EM153" s="119"/>
      <c r="EN153" s="119"/>
      <c r="EO153" s="119"/>
      <c r="EP153" s="119"/>
      <c r="EQ153" s="119"/>
      <c r="ER153" s="119"/>
      <c r="ES153" s="119"/>
      <c r="ET153" s="119"/>
      <c r="EU153" s="119"/>
      <c r="EV153" s="119"/>
      <c r="EW153" s="119"/>
      <c r="EX153" s="119"/>
      <c r="EY153" s="119"/>
      <c r="EZ153" s="119"/>
      <c r="FA153" s="119"/>
      <c r="FB153" s="119"/>
      <c r="FC153" s="119"/>
      <c r="FD153" s="119"/>
      <c r="FE153" s="119"/>
      <c r="FF153" s="119"/>
      <c r="FG153" s="119"/>
      <c r="FH153" s="119"/>
      <c r="FI153" s="119"/>
      <c r="FJ153" s="119"/>
      <c r="FK153" s="119"/>
      <c r="FL153" s="119"/>
      <c r="FM153" s="119"/>
      <c r="FN153" s="119"/>
      <c r="FO153" s="119"/>
      <c r="FP153" s="119"/>
      <c r="FQ153" s="119"/>
      <c r="FR153" s="119"/>
      <c r="FS153" s="119"/>
      <c r="FT153" s="119"/>
      <c r="FU153" s="119"/>
      <c r="FV153" s="119"/>
      <c r="FW153" s="119"/>
      <c r="FX153" s="119"/>
      <c r="FY153" s="119"/>
      <c r="FZ153" s="119"/>
      <c r="GA153" s="119"/>
      <c r="GB153" s="119"/>
      <c r="GC153" s="119"/>
      <c r="GD153" s="119"/>
      <c r="GE153" s="119"/>
      <c r="GF153" s="119"/>
      <c r="GG153" s="119"/>
      <c r="GH153" s="119"/>
      <c r="GI153" s="119"/>
      <c r="GJ153" s="119"/>
      <c r="GK153" s="119"/>
      <c r="GL153" s="119"/>
      <c r="GM153" s="119"/>
      <c r="GN153" s="119"/>
      <c r="GO153" s="119"/>
      <c r="GP153" s="119"/>
      <c r="GQ153" s="119"/>
      <c r="GR153" s="119"/>
      <c r="GS153" s="119"/>
      <c r="GT153" s="119"/>
      <c r="GU153" s="119"/>
      <c r="GV153" s="119"/>
      <c r="GW153" s="119"/>
      <c r="GX153" s="119"/>
      <c r="GY153" s="119"/>
      <c r="GZ153" s="119"/>
      <c r="HA153" s="119"/>
      <c r="HB153" s="119"/>
      <c r="HC153" s="119"/>
      <c r="HD153" s="119"/>
      <c r="HE153" s="119"/>
      <c r="HF153" s="119"/>
      <c r="HG153" s="119"/>
      <c r="HH153" s="119"/>
      <c r="HI153" s="119"/>
      <c r="HJ153" s="119"/>
      <c r="HK153" s="119"/>
      <c r="HL153" s="119"/>
      <c r="HM153" s="119"/>
      <c r="HN153" s="119"/>
      <c r="HO153" s="119"/>
      <c r="HP153" s="119"/>
      <c r="HQ153" s="119"/>
      <c r="HR153" s="119"/>
      <c r="HS153" s="119"/>
      <c r="HT153" s="119"/>
      <c r="HU153" s="119"/>
      <c r="HV153" s="119"/>
      <c r="HW153" s="119"/>
      <c r="HX153" s="119"/>
      <c r="HY153" s="119"/>
      <c r="HZ153" s="119"/>
      <c r="IA153" s="119"/>
      <c r="IB153" s="119"/>
      <c r="IC153" s="119"/>
      <c r="ID153" s="119"/>
      <c r="IE153" s="119"/>
      <c r="IF153" s="119"/>
      <c r="IG153" s="119"/>
      <c r="IH153" s="119"/>
      <c r="II153" s="119"/>
      <c r="IJ153" s="119"/>
      <c r="IK153" s="119"/>
      <c r="IL153" s="119"/>
      <c r="IM153" s="119"/>
      <c r="IN153" s="119"/>
      <c r="IO153" s="119"/>
      <c r="IP153" s="119"/>
      <c r="IQ153" s="119"/>
      <c r="IR153" s="119"/>
      <c r="IS153" s="119"/>
      <c r="IT153" s="119"/>
      <c r="IU153" s="119"/>
      <c r="IV153" s="119"/>
      <c r="IW153" s="119"/>
    </row>
    <row r="154" spans="1:257" s="187" customFormat="1" ht="18" customHeight="1" x14ac:dyDescent="0.35">
      <c r="A154" s="195">
        <v>145</v>
      </c>
      <c r="B154" s="692"/>
      <c r="C154" s="120"/>
      <c r="D154" s="1268" t="s">
        <v>862</v>
      </c>
      <c r="E154" s="127"/>
      <c r="F154" s="127"/>
      <c r="G154" s="693"/>
      <c r="H154" s="224"/>
      <c r="I154" s="559"/>
      <c r="J154" s="559"/>
      <c r="K154" s="559">
        <f>SUM(K153)</f>
        <v>8060</v>
      </c>
      <c r="L154" s="559"/>
      <c r="M154" s="559">
        <f>SUM(M153)</f>
        <v>224112</v>
      </c>
      <c r="N154" s="559"/>
      <c r="O154" s="1795"/>
      <c r="P154" s="1275">
        <f>SUM(I154:O154)</f>
        <v>232172</v>
      </c>
      <c r="Q154" s="694"/>
      <c r="R154" s="119"/>
      <c r="S154" s="119"/>
      <c r="T154" s="119"/>
      <c r="U154" s="119"/>
      <c r="V154" s="119"/>
      <c r="W154" s="119"/>
      <c r="X154" s="119"/>
      <c r="Y154" s="119"/>
      <c r="Z154" s="119"/>
      <c r="AA154" s="119"/>
      <c r="AB154" s="119"/>
      <c r="AC154" s="119"/>
      <c r="AD154" s="119"/>
      <c r="AE154" s="119"/>
      <c r="AF154" s="119"/>
      <c r="AG154" s="119"/>
      <c r="AH154" s="119"/>
      <c r="AI154" s="119"/>
      <c r="AJ154" s="119"/>
      <c r="AK154" s="119"/>
      <c r="AL154" s="119"/>
      <c r="AM154" s="119"/>
      <c r="AN154" s="119"/>
      <c r="AO154" s="119"/>
      <c r="AP154" s="119"/>
      <c r="AQ154" s="119"/>
      <c r="AR154" s="119"/>
      <c r="AS154" s="119"/>
      <c r="AT154" s="119"/>
      <c r="AU154" s="119"/>
      <c r="AV154" s="119"/>
      <c r="AW154" s="119"/>
      <c r="AX154" s="119"/>
      <c r="AY154" s="119"/>
      <c r="AZ154" s="119"/>
      <c r="BA154" s="119"/>
      <c r="BB154" s="119"/>
      <c r="BC154" s="119"/>
      <c r="BD154" s="119"/>
      <c r="BE154" s="119"/>
      <c r="BF154" s="119"/>
      <c r="BG154" s="119"/>
      <c r="BH154" s="119"/>
      <c r="BI154" s="119"/>
      <c r="BJ154" s="119"/>
      <c r="BK154" s="119"/>
      <c r="BL154" s="119"/>
      <c r="BM154" s="119"/>
      <c r="BN154" s="119"/>
      <c r="BO154" s="119"/>
      <c r="BP154" s="119"/>
      <c r="BQ154" s="119"/>
      <c r="BR154" s="119"/>
      <c r="BS154" s="119"/>
      <c r="BT154" s="119"/>
      <c r="BU154" s="119"/>
      <c r="BV154" s="119"/>
      <c r="BW154" s="119"/>
      <c r="BX154" s="119"/>
      <c r="BY154" s="119"/>
      <c r="BZ154" s="119"/>
      <c r="CA154" s="119"/>
      <c r="CB154" s="119"/>
      <c r="CC154" s="119"/>
      <c r="CD154" s="119"/>
      <c r="CE154" s="119"/>
      <c r="CF154" s="119"/>
      <c r="CG154" s="119"/>
      <c r="CH154" s="119"/>
      <c r="CI154" s="119"/>
      <c r="CJ154" s="119"/>
      <c r="CK154" s="119"/>
      <c r="CL154" s="119"/>
      <c r="CM154" s="119"/>
      <c r="CN154" s="119"/>
      <c r="CO154" s="119"/>
      <c r="CP154" s="119"/>
      <c r="CQ154" s="119"/>
      <c r="CR154" s="119"/>
      <c r="CS154" s="119"/>
      <c r="CT154" s="119"/>
      <c r="CU154" s="119"/>
      <c r="CV154" s="119"/>
      <c r="CW154" s="119"/>
      <c r="CX154" s="119"/>
      <c r="CY154" s="119"/>
      <c r="CZ154" s="119"/>
      <c r="DA154" s="119"/>
      <c r="DB154" s="119"/>
      <c r="DC154" s="119"/>
      <c r="DD154" s="119"/>
      <c r="DE154" s="119"/>
      <c r="DF154" s="119"/>
      <c r="DG154" s="119"/>
      <c r="DH154" s="119"/>
      <c r="DI154" s="119"/>
      <c r="DJ154" s="119"/>
      <c r="DK154" s="119"/>
      <c r="DL154" s="119"/>
      <c r="DM154" s="119"/>
      <c r="DN154" s="119"/>
      <c r="DO154" s="119"/>
      <c r="DP154" s="119"/>
      <c r="DQ154" s="119"/>
      <c r="DR154" s="119"/>
      <c r="DS154" s="119"/>
      <c r="DT154" s="119"/>
      <c r="DU154" s="119"/>
      <c r="DV154" s="119"/>
      <c r="DW154" s="119"/>
      <c r="DX154" s="119"/>
      <c r="DY154" s="119"/>
      <c r="DZ154" s="119"/>
      <c r="EA154" s="119"/>
      <c r="EB154" s="119"/>
      <c r="EC154" s="119"/>
      <c r="ED154" s="119"/>
      <c r="EE154" s="119"/>
      <c r="EF154" s="119"/>
      <c r="EG154" s="119"/>
      <c r="EH154" s="119"/>
      <c r="EI154" s="119"/>
      <c r="EJ154" s="119"/>
      <c r="EK154" s="119"/>
      <c r="EL154" s="119"/>
      <c r="EM154" s="119"/>
      <c r="EN154" s="119"/>
      <c r="EO154" s="119"/>
      <c r="EP154" s="119"/>
      <c r="EQ154" s="119"/>
      <c r="ER154" s="119"/>
      <c r="ES154" s="119"/>
      <c r="ET154" s="119"/>
      <c r="EU154" s="119"/>
      <c r="EV154" s="119"/>
      <c r="EW154" s="119"/>
      <c r="EX154" s="119"/>
      <c r="EY154" s="119"/>
      <c r="EZ154" s="119"/>
      <c r="FA154" s="119"/>
      <c r="FB154" s="119"/>
      <c r="FC154" s="119"/>
      <c r="FD154" s="119"/>
      <c r="FE154" s="119"/>
      <c r="FF154" s="119"/>
      <c r="FG154" s="119"/>
      <c r="FH154" s="119"/>
      <c r="FI154" s="119"/>
      <c r="FJ154" s="119"/>
      <c r="FK154" s="119"/>
      <c r="FL154" s="119"/>
      <c r="FM154" s="119"/>
      <c r="FN154" s="119"/>
      <c r="FO154" s="119"/>
      <c r="FP154" s="119"/>
      <c r="FQ154" s="119"/>
      <c r="FR154" s="119"/>
      <c r="FS154" s="119"/>
      <c r="FT154" s="119"/>
      <c r="FU154" s="119"/>
      <c r="FV154" s="119"/>
      <c r="FW154" s="119"/>
      <c r="FX154" s="119"/>
      <c r="FY154" s="119"/>
      <c r="FZ154" s="119"/>
      <c r="GA154" s="119"/>
      <c r="GB154" s="119"/>
      <c r="GC154" s="119"/>
      <c r="GD154" s="119"/>
      <c r="GE154" s="119"/>
      <c r="GF154" s="119"/>
      <c r="GG154" s="119"/>
      <c r="GH154" s="119"/>
      <c r="GI154" s="119"/>
      <c r="GJ154" s="119"/>
      <c r="GK154" s="119"/>
      <c r="GL154" s="119"/>
      <c r="GM154" s="119"/>
      <c r="GN154" s="119"/>
      <c r="GO154" s="119"/>
      <c r="GP154" s="119"/>
      <c r="GQ154" s="119"/>
      <c r="GR154" s="119"/>
      <c r="GS154" s="119"/>
      <c r="GT154" s="119"/>
      <c r="GU154" s="119"/>
      <c r="GV154" s="119"/>
      <c r="GW154" s="119"/>
      <c r="GX154" s="119"/>
      <c r="GY154" s="119"/>
      <c r="GZ154" s="119"/>
      <c r="HA154" s="119"/>
      <c r="HB154" s="119"/>
      <c r="HC154" s="119"/>
      <c r="HD154" s="119"/>
      <c r="HE154" s="119"/>
      <c r="HF154" s="119"/>
      <c r="HG154" s="119"/>
      <c r="HH154" s="119"/>
      <c r="HI154" s="119"/>
      <c r="HJ154" s="119"/>
      <c r="HK154" s="119"/>
      <c r="HL154" s="119"/>
      <c r="HM154" s="119"/>
      <c r="HN154" s="119"/>
      <c r="HO154" s="119"/>
      <c r="HP154" s="119"/>
      <c r="HQ154" s="119"/>
      <c r="HR154" s="119"/>
      <c r="HS154" s="119"/>
      <c r="HT154" s="119"/>
      <c r="HU154" s="119"/>
      <c r="HV154" s="119"/>
      <c r="HW154" s="119"/>
      <c r="HX154" s="119"/>
      <c r="HY154" s="119"/>
      <c r="HZ154" s="119"/>
      <c r="IA154" s="119"/>
      <c r="IB154" s="119"/>
      <c r="IC154" s="119"/>
      <c r="ID154" s="119"/>
      <c r="IE154" s="119"/>
      <c r="IF154" s="119"/>
      <c r="IG154" s="119"/>
      <c r="IH154" s="119"/>
      <c r="II154" s="119"/>
      <c r="IJ154" s="119"/>
      <c r="IK154" s="119"/>
      <c r="IL154" s="119"/>
      <c r="IM154" s="119"/>
      <c r="IN154" s="119"/>
      <c r="IO154" s="119"/>
      <c r="IP154" s="119"/>
      <c r="IQ154" s="119"/>
      <c r="IR154" s="119"/>
      <c r="IS154" s="119"/>
      <c r="IT154" s="119"/>
      <c r="IU154" s="119"/>
      <c r="IV154" s="119"/>
      <c r="IW154" s="119"/>
    </row>
    <row r="155" spans="1:257" s="187" customFormat="1" ht="33" customHeight="1" x14ac:dyDescent="0.35">
      <c r="A155" s="195">
        <v>146</v>
      </c>
      <c r="B155" s="692"/>
      <c r="C155" s="120">
        <v>50</v>
      </c>
      <c r="D155" s="688" t="s">
        <v>1026</v>
      </c>
      <c r="E155" s="127">
        <f>F155+G155+P157</f>
        <v>90964</v>
      </c>
      <c r="F155" s="127"/>
      <c r="G155" s="693"/>
      <c r="H155" s="224" t="s">
        <v>24</v>
      </c>
      <c r="I155" s="559"/>
      <c r="J155" s="559"/>
      <c r="K155" s="559"/>
      <c r="L155" s="559"/>
      <c r="M155" s="559"/>
      <c r="N155" s="559"/>
      <c r="O155" s="1795"/>
      <c r="P155" s="1272"/>
      <c r="Q155" s="694"/>
      <c r="R155" s="119"/>
      <c r="S155" s="119"/>
      <c r="T155" s="119"/>
      <c r="U155" s="119"/>
      <c r="V155" s="119"/>
      <c r="W155" s="119"/>
      <c r="X155" s="119"/>
      <c r="Y155" s="119"/>
      <c r="Z155" s="119"/>
      <c r="AA155" s="119"/>
      <c r="AB155" s="119"/>
      <c r="AC155" s="119"/>
      <c r="AD155" s="119"/>
      <c r="AE155" s="119"/>
      <c r="AF155" s="119"/>
      <c r="AG155" s="119"/>
      <c r="AH155" s="119"/>
      <c r="AI155" s="119"/>
      <c r="AJ155" s="119"/>
      <c r="AK155" s="119"/>
      <c r="AL155" s="119"/>
      <c r="AM155" s="119"/>
      <c r="AN155" s="119"/>
      <c r="AO155" s="119"/>
      <c r="AP155" s="119"/>
      <c r="AQ155" s="119"/>
      <c r="AR155" s="119"/>
      <c r="AS155" s="119"/>
      <c r="AT155" s="119"/>
      <c r="AU155" s="119"/>
      <c r="AV155" s="119"/>
      <c r="AW155" s="119"/>
      <c r="AX155" s="119"/>
      <c r="AY155" s="119"/>
      <c r="AZ155" s="119"/>
      <c r="BA155" s="119"/>
      <c r="BB155" s="119"/>
      <c r="BC155" s="119"/>
      <c r="BD155" s="119"/>
      <c r="BE155" s="119"/>
      <c r="BF155" s="119"/>
      <c r="BG155" s="119"/>
      <c r="BH155" s="119"/>
      <c r="BI155" s="119"/>
      <c r="BJ155" s="119"/>
      <c r="BK155" s="119"/>
      <c r="BL155" s="119"/>
      <c r="BM155" s="119"/>
      <c r="BN155" s="119"/>
      <c r="BO155" s="119"/>
      <c r="BP155" s="119"/>
      <c r="BQ155" s="119"/>
      <c r="BR155" s="119"/>
      <c r="BS155" s="119"/>
      <c r="BT155" s="119"/>
      <c r="BU155" s="119"/>
      <c r="BV155" s="119"/>
      <c r="BW155" s="119"/>
      <c r="BX155" s="119"/>
      <c r="BY155" s="119"/>
      <c r="BZ155" s="119"/>
      <c r="CA155" s="119"/>
      <c r="CB155" s="119"/>
      <c r="CC155" s="119"/>
      <c r="CD155" s="119"/>
      <c r="CE155" s="119"/>
      <c r="CF155" s="119"/>
      <c r="CG155" s="119"/>
      <c r="CH155" s="119"/>
      <c r="CI155" s="119"/>
      <c r="CJ155" s="119"/>
      <c r="CK155" s="119"/>
      <c r="CL155" s="119"/>
      <c r="CM155" s="119"/>
      <c r="CN155" s="119"/>
      <c r="CO155" s="119"/>
      <c r="CP155" s="119"/>
      <c r="CQ155" s="119"/>
      <c r="CR155" s="119"/>
      <c r="CS155" s="119"/>
      <c r="CT155" s="119"/>
      <c r="CU155" s="119"/>
      <c r="CV155" s="119"/>
      <c r="CW155" s="119"/>
      <c r="CX155" s="119"/>
      <c r="CY155" s="119"/>
      <c r="CZ155" s="119"/>
      <c r="DA155" s="119"/>
      <c r="DB155" s="119"/>
      <c r="DC155" s="119"/>
      <c r="DD155" s="119"/>
      <c r="DE155" s="119"/>
      <c r="DF155" s="119"/>
      <c r="DG155" s="119"/>
      <c r="DH155" s="119"/>
      <c r="DI155" s="119"/>
      <c r="DJ155" s="119"/>
      <c r="DK155" s="119"/>
      <c r="DL155" s="119"/>
      <c r="DM155" s="119"/>
      <c r="DN155" s="119"/>
      <c r="DO155" s="119"/>
      <c r="DP155" s="119"/>
      <c r="DQ155" s="119"/>
      <c r="DR155" s="119"/>
      <c r="DS155" s="119"/>
      <c r="DT155" s="119"/>
      <c r="DU155" s="119"/>
      <c r="DV155" s="119"/>
      <c r="DW155" s="119"/>
      <c r="DX155" s="119"/>
      <c r="DY155" s="119"/>
      <c r="DZ155" s="119"/>
      <c r="EA155" s="119"/>
      <c r="EB155" s="119"/>
      <c r="EC155" s="119"/>
      <c r="ED155" s="119"/>
      <c r="EE155" s="119"/>
      <c r="EF155" s="119"/>
      <c r="EG155" s="119"/>
      <c r="EH155" s="119"/>
      <c r="EI155" s="119"/>
      <c r="EJ155" s="119"/>
      <c r="EK155" s="119"/>
      <c r="EL155" s="119"/>
      <c r="EM155" s="119"/>
      <c r="EN155" s="119"/>
      <c r="EO155" s="119"/>
      <c r="EP155" s="119"/>
      <c r="EQ155" s="119"/>
      <c r="ER155" s="119"/>
      <c r="ES155" s="119"/>
      <c r="ET155" s="119"/>
      <c r="EU155" s="119"/>
      <c r="EV155" s="119"/>
      <c r="EW155" s="119"/>
      <c r="EX155" s="119"/>
      <c r="EY155" s="119"/>
      <c r="EZ155" s="119"/>
      <c r="FA155" s="119"/>
      <c r="FB155" s="119"/>
      <c r="FC155" s="119"/>
      <c r="FD155" s="119"/>
      <c r="FE155" s="119"/>
      <c r="FF155" s="119"/>
      <c r="FG155" s="119"/>
      <c r="FH155" s="119"/>
      <c r="FI155" s="119"/>
      <c r="FJ155" s="119"/>
      <c r="FK155" s="119"/>
      <c r="FL155" s="119"/>
      <c r="FM155" s="119"/>
      <c r="FN155" s="119"/>
      <c r="FO155" s="119"/>
      <c r="FP155" s="119"/>
      <c r="FQ155" s="119"/>
      <c r="FR155" s="119"/>
      <c r="FS155" s="119"/>
      <c r="FT155" s="119"/>
      <c r="FU155" s="119"/>
      <c r="FV155" s="119"/>
      <c r="FW155" s="119"/>
      <c r="FX155" s="119"/>
      <c r="FY155" s="119"/>
      <c r="FZ155" s="119"/>
      <c r="GA155" s="119"/>
      <c r="GB155" s="119"/>
      <c r="GC155" s="119"/>
      <c r="GD155" s="119"/>
      <c r="GE155" s="119"/>
      <c r="GF155" s="119"/>
      <c r="GG155" s="119"/>
      <c r="GH155" s="119"/>
      <c r="GI155" s="119"/>
      <c r="GJ155" s="119"/>
      <c r="GK155" s="119"/>
      <c r="GL155" s="119"/>
      <c r="GM155" s="119"/>
      <c r="GN155" s="119"/>
      <c r="GO155" s="119"/>
      <c r="GP155" s="119"/>
      <c r="GQ155" s="119"/>
      <c r="GR155" s="119"/>
      <c r="GS155" s="119"/>
      <c r="GT155" s="119"/>
      <c r="GU155" s="119"/>
      <c r="GV155" s="119"/>
      <c r="GW155" s="119"/>
      <c r="GX155" s="119"/>
      <c r="GY155" s="119"/>
      <c r="GZ155" s="119"/>
      <c r="HA155" s="119"/>
      <c r="HB155" s="119"/>
      <c r="HC155" s="119"/>
      <c r="HD155" s="119"/>
      <c r="HE155" s="119"/>
      <c r="HF155" s="119"/>
      <c r="HG155" s="119"/>
      <c r="HH155" s="119"/>
      <c r="HI155" s="119"/>
      <c r="HJ155" s="119"/>
      <c r="HK155" s="119"/>
      <c r="HL155" s="119"/>
      <c r="HM155" s="119"/>
      <c r="HN155" s="119"/>
      <c r="HO155" s="119"/>
      <c r="HP155" s="119"/>
      <c r="HQ155" s="119"/>
      <c r="HR155" s="119"/>
      <c r="HS155" s="119"/>
      <c r="HT155" s="119"/>
      <c r="HU155" s="119"/>
      <c r="HV155" s="119"/>
      <c r="HW155" s="119"/>
      <c r="HX155" s="119"/>
      <c r="HY155" s="119"/>
      <c r="HZ155" s="119"/>
      <c r="IA155" s="119"/>
      <c r="IB155" s="119"/>
      <c r="IC155" s="119"/>
      <c r="ID155" s="119"/>
      <c r="IE155" s="119"/>
      <c r="IF155" s="119"/>
      <c r="IG155" s="119"/>
      <c r="IH155" s="119"/>
      <c r="II155" s="119"/>
      <c r="IJ155" s="119"/>
      <c r="IK155" s="119"/>
      <c r="IL155" s="119"/>
      <c r="IM155" s="119"/>
      <c r="IN155" s="119"/>
      <c r="IO155" s="119"/>
      <c r="IP155" s="119"/>
      <c r="IQ155" s="119"/>
      <c r="IR155" s="119"/>
      <c r="IS155" s="119"/>
      <c r="IT155" s="119"/>
      <c r="IU155" s="119"/>
      <c r="IV155" s="119"/>
      <c r="IW155" s="119"/>
    </row>
    <row r="156" spans="1:257" s="187" customFormat="1" ht="18" customHeight="1" x14ac:dyDescent="0.35">
      <c r="A156" s="195">
        <v>147</v>
      </c>
      <c r="B156" s="692"/>
      <c r="C156" s="120"/>
      <c r="D156" s="1265" t="s">
        <v>656</v>
      </c>
      <c r="E156" s="127"/>
      <c r="F156" s="127"/>
      <c r="G156" s="693"/>
      <c r="H156" s="224"/>
      <c r="I156" s="559"/>
      <c r="J156" s="559"/>
      <c r="K156" s="1282">
        <v>1905</v>
      </c>
      <c r="L156" s="1282"/>
      <c r="M156" s="1282">
        <v>89059</v>
      </c>
      <c r="N156" s="559"/>
      <c r="O156" s="1795"/>
      <c r="P156" s="1276">
        <f>SUM(I156:O156)</f>
        <v>90964</v>
      </c>
      <c r="Q156" s="694"/>
      <c r="R156" s="119"/>
      <c r="S156" s="119"/>
      <c r="T156" s="119"/>
      <c r="U156" s="119"/>
      <c r="V156" s="119"/>
      <c r="W156" s="119"/>
      <c r="X156" s="119"/>
      <c r="Y156" s="119"/>
      <c r="Z156" s="119"/>
      <c r="AA156" s="119"/>
      <c r="AB156" s="119"/>
      <c r="AC156" s="119"/>
      <c r="AD156" s="119"/>
      <c r="AE156" s="119"/>
      <c r="AF156" s="119"/>
      <c r="AG156" s="119"/>
      <c r="AH156" s="119"/>
      <c r="AI156" s="119"/>
      <c r="AJ156" s="119"/>
      <c r="AK156" s="119"/>
      <c r="AL156" s="119"/>
      <c r="AM156" s="119"/>
      <c r="AN156" s="119"/>
      <c r="AO156" s="119"/>
      <c r="AP156" s="119"/>
      <c r="AQ156" s="119"/>
      <c r="AR156" s="119"/>
      <c r="AS156" s="119"/>
      <c r="AT156" s="119"/>
      <c r="AU156" s="119"/>
      <c r="AV156" s="119"/>
      <c r="AW156" s="119"/>
      <c r="AX156" s="119"/>
      <c r="AY156" s="119"/>
      <c r="AZ156" s="119"/>
      <c r="BA156" s="119"/>
      <c r="BB156" s="119"/>
      <c r="BC156" s="119"/>
      <c r="BD156" s="119"/>
      <c r="BE156" s="119"/>
      <c r="BF156" s="119"/>
      <c r="BG156" s="119"/>
      <c r="BH156" s="119"/>
      <c r="BI156" s="119"/>
      <c r="BJ156" s="119"/>
      <c r="BK156" s="119"/>
      <c r="BL156" s="119"/>
      <c r="BM156" s="119"/>
      <c r="BN156" s="119"/>
      <c r="BO156" s="119"/>
      <c r="BP156" s="119"/>
      <c r="BQ156" s="119"/>
      <c r="BR156" s="119"/>
      <c r="BS156" s="119"/>
      <c r="BT156" s="119"/>
      <c r="BU156" s="119"/>
      <c r="BV156" s="119"/>
      <c r="BW156" s="119"/>
      <c r="BX156" s="119"/>
      <c r="BY156" s="119"/>
      <c r="BZ156" s="119"/>
      <c r="CA156" s="119"/>
      <c r="CB156" s="119"/>
      <c r="CC156" s="119"/>
      <c r="CD156" s="119"/>
      <c r="CE156" s="119"/>
      <c r="CF156" s="119"/>
      <c r="CG156" s="119"/>
      <c r="CH156" s="119"/>
      <c r="CI156" s="119"/>
      <c r="CJ156" s="119"/>
      <c r="CK156" s="119"/>
      <c r="CL156" s="119"/>
      <c r="CM156" s="119"/>
      <c r="CN156" s="119"/>
      <c r="CO156" s="119"/>
      <c r="CP156" s="119"/>
      <c r="CQ156" s="119"/>
      <c r="CR156" s="119"/>
      <c r="CS156" s="119"/>
      <c r="CT156" s="119"/>
      <c r="CU156" s="119"/>
      <c r="CV156" s="119"/>
      <c r="CW156" s="119"/>
      <c r="CX156" s="119"/>
      <c r="CY156" s="119"/>
      <c r="CZ156" s="119"/>
      <c r="DA156" s="119"/>
      <c r="DB156" s="119"/>
      <c r="DC156" s="119"/>
      <c r="DD156" s="119"/>
      <c r="DE156" s="119"/>
      <c r="DF156" s="119"/>
      <c r="DG156" s="119"/>
      <c r="DH156" s="119"/>
      <c r="DI156" s="119"/>
      <c r="DJ156" s="119"/>
      <c r="DK156" s="119"/>
      <c r="DL156" s="119"/>
      <c r="DM156" s="119"/>
      <c r="DN156" s="119"/>
      <c r="DO156" s="119"/>
      <c r="DP156" s="119"/>
      <c r="DQ156" s="119"/>
      <c r="DR156" s="119"/>
      <c r="DS156" s="119"/>
      <c r="DT156" s="119"/>
      <c r="DU156" s="119"/>
      <c r="DV156" s="119"/>
      <c r="DW156" s="119"/>
      <c r="DX156" s="119"/>
      <c r="DY156" s="119"/>
      <c r="DZ156" s="119"/>
      <c r="EA156" s="119"/>
      <c r="EB156" s="119"/>
      <c r="EC156" s="119"/>
      <c r="ED156" s="119"/>
      <c r="EE156" s="119"/>
      <c r="EF156" s="119"/>
      <c r="EG156" s="119"/>
      <c r="EH156" s="119"/>
      <c r="EI156" s="119"/>
      <c r="EJ156" s="119"/>
      <c r="EK156" s="119"/>
      <c r="EL156" s="119"/>
      <c r="EM156" s="119"/>
      <c r="EN156" s="119"/>
      <c r="EO156" s="119"/>
      <c r="EP156" s="119"/>
      <c r="EQ156" s="119"/>
      <c r="ER156" s="119"/>
      <c r="ES156" s="119"/>
      <c r="ET156" s="119"/>
      <c r="EU156" s="119"/>
      <c r="EV156" s="119"/>
      <c r="EW156" s="119"/>
      <c r="EX156" s="119"/>
      <c r="EY156" s="119"/>
      <c r="EZ156" s="119"/>
      <c r="FA156" s="119"/>
      <c r="FB156" s="119"/>
      <c r="FC156" s="119"/>
      <c r="FD156" s="119"/>
      <c r="FE156" s="119"/>
      <c r="FF156" s="119"/>
      <c r="FG156" s="119"/>
      <c r="FH156" s="119"/>
      <c r="FI156" s="119"/>
      <c r="FJ156" s="119"/>
      <c r="FK156" s="119"/>
      <c r="FL156" s="119"/>
      <c r="FM156" s="119"/>
      <c r="FN156" s="119"/>
      <c r="FO156" s="119"/>
      <c r="FP156" s="119"/>
      <c r="FQ156" s="119"/>
      <c r="FR156" s="119"/>
      <c r="FS156" s="119"/>
      <c r="FT156" s="119"/>
      <c r="FU156" s="119"/>
      <c r="FV156" s="119"/>
      <c r="FW156" s="119"/>
      <c r="FX156" s="119"/>
      <c r="FY156" s="119"/>
      <c r="FZ156" s="119"/>
      <c r="GA156" s="119"/>
      <c r="GB156" s="119"/>
      <c r="GC156" s="119"/>
      <c r="GD156" s="119"/>
      <c r="GE156" s="119"/>
      <c r="GF156" s="119"/>
      <c r="GG156" s="119"/>
      <c r="GH156" s="119"/>
      <c r="GI156" s="119"/>
      <c r="GJ156" s="119"/>
      <c r="GK156" s="119"/>
      <c r="GL156" s="119"/>
      <c r="GM156" s="119"/>
      <c r="GN156" s="119"/>
      <c r="GO156" s="119"/>
      <c r="GP156" s="119"/>
      <c r="GQ156" s="119"/>
      <c r="GR156" s="119"/>
      <c r="GS156" s="119"/>
      <c r="GT156" s="119"/>
      <c r="GU156" s="119"/>
      <c r="GV156" s="119"/>
      <c r="GW156" s="119"/>
      <c r="GX156" s="119"/>
      <c r="GY156" s="119"/>
      <c r="GZ156" s="119"/>
      <c r="HA156" s="119"/>
      <c r="HB156" s="119"/>
      <c r="HC156" s="119"/>
      <c r="HD156" s="119"/>
      <c r="HE156" s="119"/>
      <c r="HF156" s="119"/>
      <c r="HG156" s="119"/>
      <c r="HH156" s="119"/>
      <c r="HI156" s="119"/>
      <c r="HJ156" s="119"/>
      <c r="HK156" s="119"/>
      <c r="HL156" s="119"/>
      <c r="HM156" s="119"/>
      <c r="HN156" s="119"/>
      <c r="HO156" s="119"/>
      <c r="HP156" s="119"/>
      <c r="HQ156" s="119"/>
      <c r="HR156" s="119"/>
      <c r="HS156" s="119"/>
      <c r="HT156" s="119"/>
      <c r="HU156" s="119"/>
      <c r="HV156" s="119"/>
      <c r="HW156" s="119"/>
      <c r="HX156" s="119"/>
      <c r="HY156" s="119"/>
      <c r="HZ156" s="119"/>
      <c r="IA156" s="119"/>
      <c r="IB156" s="119"/>
      <c r="IC156" s="119"/>
      <c r="ID156" s="119"/>
      <c r="IE156" s="119"/>
      <c r="IF156" s="119"/>
      <c r="IG156" s="119"/>
      <c r="IH156" s="119"/>
      <c r="II156" s="119"/>
      <c r="IJ156" s="119"/>
      <c r="IK156" s="119"/>
      <c r="IL156" s="119"/>
      <c r="IM156" s="119"/>
      <c r="IN156" s="119"/>
      <c r="IO156" s="119"/>
      <c r="IP156" s="119"/>
      <c r="IQ156" s="119"/>
      <c r="IR156" s="119"/>
      <c r="IS156" s="119"/>
      <c r="IT156" s="119"/>
      <c r="IU156" s="119"/>
      <c r="IV156" s="119"/>
      <c r="IW156" s="119"/>
    </row>
    <row r="157" spans="1:257" s="187" customFormat="1" ht="18" customHeight="1" x14ac:dyDescent="0.35">
      <c r="A157" s="195">
        <v>148</v>
      </c>
      <c r="B157" s="692"/>
      <c r="C157" s="120"/>
      <c r="D157" s="1268" t="s">
        <v>862</v>
      </c>
      <c r="E157" s="127"/>
      <c r="F157" s="127"/>
      <c r="G157" s="693"/>
      <c r="H157" s="224"/>
      <c r="I157" s="559"/>
      <c r="J157" s="559"/>
      <c r="K157" s="559">
        <f>SUM(K156)</f>
        <v>1905</v>
      </c>
      <c r="L157" s="559"/>
      <c r="M157" s="559">
        <f>SUM(M156)</f>
        <v>89059</v>
      </c>
      <c r="N157" s="559"/>
      <c r="O157" s="1795"/>
      <c r="P157" s="1275">
        <f>SUM(I157:O157)</f>
        <v>90964</v>
      </c>
      <c r="Q157" s="694"/>
      <c r="R157" s="119"/>
      <c r="S157" s="119"/>
      <c r="T157" s="119"/>
      <c r="U157" s="119"/>
      <c r="V157" s="119"/>
      <c r="W157" s="119"/>
      <c r="X157" s="119"/>
      <c r="Y157" s="119"/>
      <c r="Z157" s="119"/>
      <c r="AA157" s="119"/>
      <c r="AB157" s="119"/>
      <c r="AC157" s="119"/>
      <c r="AD157" s="119"/>
      <c r="AE157" s="119"/>
      <c r="AF157" s="119"/>
      <c r="AG157" s="119"/>
      <c r="AH157" s="119"/>
      <c r="AI157" s="119"/>
      <c r="AJ157" s="119"/>
      <c r="AK157" s="119"/>
      <c r="AL157" s="119"/>
      <c r="AM157" s="119"/>
      <c r="AN157" s="119"/>
      <c r="AO157" s="119"/>
      <c r="AP157" s="119"/>
      <c r="AQ157" s="119"/>
      <c r="AR157" s="119"/>
      <c r="AS157" s="119"/>
      <c r="AT157" s="119"/>
      <c r="AU157" s="119"/>
      <c r="AV157" s="119"/>
      <c r="AW157" s="119"/>
      <c r="AX157" s="119"/>
      <c r="AY157" s="119"/>
      <c r="AZ157" s="119"/>
      <c r="BA157" s="119"/>
      <c r="BB157" s="119"/>
      <c r="BC157" s="119"/>
      <c r="BD157" s="119"/>
      <c r="BE157" s="119"/>
      <c r="BF157" s="119"/>
      <c r="BG157" s="119"/>
      <c r="BH157" s="119"/>
      <c r="BI157" s="119"/>
      <c r="BJ157" s="119"/>
      <c r="BK157" s="119"/>
      <c r="BL157" s="119"/>
      <c r="BM157" s="119"/>
      <c r="BN157" s="119"/>
      <c r="BO157" s="119"/>
      <c r="BP157" s="119"/>
      <c r="BQ157" s="119"/>
      <c r="BR157" s="119"/>
      <c r="BS157" s="119"/>
      <c r="BT157" s="119"/>
      <c r="BU157" s="119"/>
      <c r="BV157" s="119"/>
      <c r="BW157" s="119"/>
      <c r="BX157" s="119"/>
      <c r="BY157" s="119"/>
      <c r="BZ157" s="119"/>
      <c r="CA157" s="119"/>
      <c r="CB157" s="119"/>
      <c r="CC157" s="119"/>
      <c r="CD157" s="119"/>
      <c r="CE157" s="119"/>
      <c r="CF157" s="119"/>
      <c r="CG157" s="119"/>
      <c r="CH157" s="119"/>
      <c r="CI157" s="119"/>
      <c r="CJ157" s="119"/>
      <c r="CK157" s="119"/>
      <c r="CL157" s="119"/>
      <c r="CM157" s="119"/>
      <c r="CN157" s="119"/>
      <c r="CO157" s="119"/>
      <c r="CP157" s="119"/>
      <c r="CQ157" s="119"/>
      <c r="CR157" s="119"/>
      <c r="CS157" s="119"/>
      <c r="CT157" s="119"/>
      <c r="CU157" s="119"/>
      <c r="CV157" s="119"/>
      <c r="CW157" s="119"/>
      <c r="CX157" s="119"/>
      <c r="CY157" s="119"/>
      <c r="CZ157" s="119"/>
      <c r="DA157" s="119"/>
      <c r="DB157" s="119"/>
      <c r="DC157" s="119"/>
      <c r="DD157" s="119"/>
      <c r="DE157" s="119"/>
      <c r="DF157" s="119"/>
      <c r="DG157" s="119"/>
      <c r="DH157" s="119"/>
      <c r="DI157" s="119"/>
      <c r="DJ157" s="119"/>
      <c r="DK157" s="119"/>
      <c r="DL157" s="119"/>
      <c r="DM157" s="119"/>
      <c r="DN157" s="119"/>
      <c r="DO157" s="119"/>
      <c r="DP157" s="119"/>
      <c r="DQ157" s="119"/>
      <c r="DR157" s="119"/>
      <c r="DS157" s="119"/>
      <c r="DT157" s="119"/>
      <c r="DU157" s="119"/>
      <c r="DV157" s="119"/>
      <c r="DW157" s="119"/>
      <c r="DX157" s="119"/>
      <c r="DY157" s="119"/>
      <c r="DZ157" s="119"/>
      <c r="EA157" s="119"/>
      <c r="EB157" s="119"/>
      <c r="EC157" s="119"/>
      <c r="ED157" s="119"/>
      <c r="EE157" s="119"/>
      <c r="EF157" s="119"/>
      <c r="EG157" s="119"/>
      <c r="EH157" s="119"/>
      <c r="EI157" s="119"/>
      <c r="EJ157" s="119"/>
      <c r="EK157" s="119"/>
      <c r="EL157" s="119"/>
      <c r="EM157" s="119"/>
      <c r="EN157" s="119"/>
      <c r="EO157" s="119"/>
      <c r="EP157" s="119"/>
      <c r="EQ157" s="119"/>
      <c r="ER157" s="119"/>
      <c r="ES157" s="119"/>
      <c r="ET157" s="119"/>
      <c r="EU157" s="119"/>
      <c r="EV157" s="119"/>
      <c r="EW157" s="119"/>
      <c r="EX157" s="119"/>
      <c r="EY157" s="119"/>
      <c r="EZ157" s="119"/>
      <c r="FA157" s="119"/>
      <c r="FB157" s="119"/>
      <c r="FC157" s="119"/>
      <c r="FD157" s="119"/>
      <c r="FE157" s="119"/>
      <c r="FF157" s="119"/>
      <c r="FG157" s="119"/>
      <c r="FH157" s="119"/>
      <c r="FI157" s="119"/>
      <c r="FJ157" s="119"/>
      <c r="FK157" s="119"/>
      <c r="FL157" s="119"/>
      <c r="FM157" s="119"/>
      <c r="FN157" s="119"/>
      <c r="FO157" s="119"/>
      <c r="FP157" s="119"/>
      <c r="FQ157" s="119"/>
      <c r="FR157" s="119"/>
      <c r="FS157" s="119"/>
      <c r="FT157" s="119"/>
      <c r="FU157" s="119"/>
      <c r="FV157" s="119"/>
      <c r="FW157" s="119"/>
      <c r="FX157" s="119"/>
      <c r="FY157" s="119"/>
      <c r="FZ157" s="119"/>
      <c r="GA157" s="119"/>
      <c r="GB157" s="119"/>
      <c r="GC157" s="119"/>
      <c r="GD157" s="119"/>
      <c r="GE157" s="119"/>
      <c r="GF157" s="119"/>
      <c r="GG157" s="119"/>
      <c r="GH157" s="119"/>
      <c r="GI157" s="119"/>
      <c r="GJ157" s="119"/>
      <c r="GK157" s="119"/>
      <c r="GL157" s="119"/>
      <c r="GM157" s="119"/>
      <c r="GN157" s="119"/>
      <c r="GO157" s="119"/>
      <c r="GP157" s="119"/>
      <c r="GQ157" s="119"/>
      <c r="GR157" s="119"/>
      <c r="GS157" s="119"/>
      <c r="GT157" s="119"/>
      <c r="GU157" s="119"/>
      <c r="GV157" s="119"/>
      <c r="GW157" s="119"/>
      <c r="GX157" s="119"/>
      <c r="GY157" s="119"/>
      <c r="GZ157" s="119"/>
      <c r="HA157" s="119"/>
      <c r="HB157" s="119"/>
      <c r="HC157" s="119"/>
      <c r="HD157" s="119"/>
      <c r="HE157" s="119"/>
      <c r="HF157" s="119"/>
      <c r="HG157" s="119"/>
      <c r="HH157" s="119"/>
      <c r="HI157" s="119"/>
      <c r="HJ157" s="119"/>
      <c r="HK157" s="119"/>
      <c r="HL157" s="119"/>
      <c r="HM157" s="119"/>
      <c r="HN157" s="119"/>
      <c r="HO157" s="119"/>
      <c r="HP157" s="119"/>
      <c r="HQ157" s="119"/>
      <c r="HR157" s="119"/>
      <c r="HS157" s="119"/>
      <c r="HT157" s="119"/>
      <c r="HU157" s="119"/>
      <c r="HV157" s="119"/>
      <c r="HW157" s="119"/>
      <c r="HX157" s="119"/>
      <c r="HY157" s="119"/>
      <c r="HZ157" s="119"/>
      <c r="IA157" s="119"/>
      <c r="IB157" s="119"/>
      <c r="IC157" s="119"/>
      <c r="ID157" s="119"/>
      <c r="IE157" s="119"/>
      <c r="IF157" s="119"/>
      <c r="IG157" s="119"/>
      <c r="IH157" s="119"/>
      <c r="II157" s="119"/>
      <c r="IJ157" s="119"/>
      <c r="IK157" s="119"/>
      <c r="IL157" s="119"/>
      <c r="IM157" s="119"/>
      <c r="IN157" s="119"/>
      <c r="IO157" s="119"/>
      <c r="IP157" s="119"/>
      <c r="IQ157" s="119"/>
      <c r="IR157" s="119"/>
      <c r="IS157" s="119"/>
      <c r="IT157" s="119"/>
      <c r="IU157" s="119"/>
      <c r="IV157" s="119"/>
      <c r="IW157" s="119"/>
    </row>
    <row r="158" spans="1:257" s="187" customFormat="1" ht="34.5" customHeight="1" x14ac:dyDescent="0.35">
      <c r="A158" s="195">
        <v>149</v>
      </c>
      <c r="B158" s="692"/>
      <c r="C158" s="120">
        <v>51</v>
      </c>
      <c r="D158" s="688" t="s">
        <v>1028</v>
      </c>
      <c r="E158" s="127">
        <f>F158+G158+P160</f>
        <v>498000</v>
      </c>
      <c r="F158" s="127"/>
      <c r="G158" s="693"/>
      <c r="H158" s="224" t="s">
        <v>24</v>
      </c>
      <c r="I158" s="559"/>
      <c r="J158" s="559"/>
      <c r="K158" s="559"/>
      <c r="L158" s="559"/>
      <c r="M158" s="559"/>
      <c r="N158" s="559"/>
      <c r="O158" s="1795"/>
      <c r="P158" s="1275"/>
      <c r="Q158" s="694"/>
      <c r="R158" s="119"/>
      <c r="S158" s="119"/>
      <c r="T158" s="119"/>
      <c r="U158" s="119"/>
      <c r="V158" s="119"/>
      <c r="W158" s="119"/>
      <c r="X158" s="119"/>
      <c r="Y158" s="119"/>
      <c r="Z158" s="119"/>
      <c r="AA158" s="119"/>
      <c r="AB158" s="119"/>
      <c r="AC158" s="119"/>
      <c r="AD158" s="119"/>
      <c r="AE158" s="119"/>
      <c r="AF158" s="119"/>
      <c r="AG158" s="119"/>
      <c r="AH158" s="119"/>
      <c r="AI158" s="119"/>
      <c r="AJ158" s="119"/>
      <c r="AK158" s="119"/>
      <c r="AL158" s="119"/>
      <c r="AM158" s="119"/>
      <c r="AN158" s="119"/>
      <c r="AO158" s="119"/>
      <c r="AP158" s="119"/>
      <c r="AQ158" s="119"/>
      <c r="AR158" s="119"/>
      <c r="AS158" s="119"/>
      <c r="AT158" s="119"/>
      <c r="AU158" s="119"/>
      <c r="AV158" s="119"/>
      <c r="AW158" s="119"/>
      <c r="AX158" s="119"/>
      <c r="AY158" s="119"/>
      <c r="AZ158" s="119"/>
      <c r="BA158" s="119"/>
      <c r="BB158" s="119"/>
      <c r="BC158" s="119"/>
      <c r="BD158" s="119"/>
      <c r="BE158" s="119"/>
      <c r="BF158" s="119"/>
      <c r="BG158" s="119"/>
      <c r="BH158" s="119"/>
      <c r="BI158" s="119"/>
      <c r="BJ158" s="119"/>
      <c r="BK158" s="119"/>
      <c r="BL158" s="119"/>
      <c r="BM158" s="119"/>
      <c r="BN158" s="119"/>
      <c r="BO158" s="119"/>
      <c r="BP158" s="119"/>
      <c r="BQ158" s="119"/>
      <c r="BR158" s="119"/>
      <c r="BS158" s="119"/>
      <c r="BT158" s="119"/>
      <c r="BU158" s="119"/>
      <c r="BV158" s="119"/>
      <c r="BW158" s="119"/>
      <c r="BX158" s="119"/>
      <c r="BY158" s="119"/>
      <c r="BZ158" s="119"/>
      <c r="CA158" s="119"/>
      <c r="CB158" s="119"/>
      <c r="CC158" s="119"/>
      <c r="CD158" s="119"/>
      <c r="CE158" s="119"/>
      <c r="CF158" s="119"/>
      <c r="CG158" s="119"/>
      <c r="CH158" s="119"/>
      <c r="CI158" s="119"/>
      <c r="CJ158" s="119"/>
      <c r="CK158" s="119"/>
      <c r="CL158" s="119"/>
      <c r="CM158" s="119"/>
      <c r="CN158" s="119"/>
      <c r="CO158" s="119"/>
      <c r="CP158" s="119"/>
      <c r="CQ158" s="119"/>
      <c r="CR158" s="119"/>
      <c r="CS158" s="119"/>
      <c r="CT158" s="119"/>
      <c r="CU158" s="119"/>
      <c r="CV158" s="119"/>
      <c r="CW158" s="119"/>
      <c r="CX158" s="119"/>
      <c r="CY158" s="119"/>
      <c r="CZ158" s="119"/>
      <c r="DA158" s="119"/>
      <c r="DB158" s="119"/>
      <c r="DC158" s="119"/>
      <c r="DD158" s="119"/>
      <c r="DE158" s="119"/>
      <c r="DF158" s="119"/>
      <c r="DG158" s="119"/>
      <c r="DH158" s="119"/>
      <c r="DI158" s="119"/>
      <c r="DJ158" s="119"/>
      <c r="DK158" s="119"/>
      <c r="DL158" s="119"/>
      <c r="DM158" s="119"/>
      <c r="DN158" s="119"/>
      <c r="DO158" s="119"/>
      <c r="DP158" s="119"/>
      <c r="DQ158" s="119"/>
      <c r="DR158" s="119"/>
      <c r="DS158" s="119"/>
      <c r="DT158" s="119"/>
      <c r="DU158" s="119"/>
      <c r="DV158" s="119"/>
      <c r="DW158" s="119"/>
      <c r="DX158" s="119"/>
      <c r="DY158" s="119"/>
      <c r="DZ158" s="119"/>
      <c r="EA158" s="119"/>
      <c r="EB158" s="119"/>
      <c r="EC158" s="119"/>
      <c r="ED158" s="119"/>
      <c r="EE158" s="119"/>
      <c r="EF158" s="119"/>
      <c r="EG158" s="119"/>
      <c r="EH158" s="119"/>
      <c r="EI158" s="119"/>
      <c r="EJ158" s="119"/>
      <c r="EK158" s="119"/>
      <c r="EL158" s="119"/>
      <c r="EM158" s="119"/>
      <c r="EN158" s="119"/>
      <c r="EO158" s="119"/>
      <c r="EP158" s="119"/>
      <c r="EQ158" s="119"/>
      <c r="ER158" s="119"/>
      <c r="ES158" s="119"/>
      <c r="ET158" s="119"/>
      <c r="EU158" s="119"/>
      <c r="EV158" s="119"/>
      <c r="EW158" s="119"/>
      <c r="EX158" s="119"/>
      <c r="EY158" s="119"/>
      <c r="EZ158" s="119"/>
      <c r="FA158" s="119"/>
      <c r="FB158" s="119"/>
      <c r="FC158" s="119"/>
      <c r="FD158" s="119"/>
      <c r="FE158" s="119"/>
      <c r="FF158" s="119"/>
      <c r="FG158" s="119"/>
      <c r="FH158" s="119"/>
      <c r="FI158" s="119"/>
      <c r="FJ158" s="119"/>
      <c r="FK158" s="119"/>
      <c r="FL158" s="119"/>
      <c r="FM158" s="119"/>
      <c r="FN158" s="119"/>
      <c r="FO158" s="119"/>
      <c r="FP158" s="119"/>
      <c r="FQ158" s="119"/>
      <c r="FR158" s="119"/>
      <c r="FS158" s="119"/>
      <c r="FT158" s="119"/>
      <c r="FU158" s="119"/>
      <c r="FV158" s="119"/>
      <c r="FW158" s="119"/>
      <c r="FX158" s="119"/>
      <c r="FY158" s="119"/>
      <c r="FZ158" s="119"/>
      <c r="GA158" s="119"/>
      <c r="GB158" s="119"/>
      <c r="GC158" s="119"/>
      <c r="GD158" s="119"/>
      <c r="GE158" s="119"/>
      <c r="GF158" s="119"/>
      <c r="GG158" s="119"/>
      <c r="GH158" s="119"/>
      <c r="GI158" s="119"/>
      <c r="GJ158" s="119"/>
      <c r="GK158" s="119"/>
      <c r="GL158" s="119"/>
      <c r="GM158" s="119"/>
      <c r="GN158" s="119"/>
      <c r="GO158" s="119"/>
      <c r="GP158" s="119"/>
      <c r="GQ158" s="119"/>
      <c r="GR158" s="119"/>
      <c r="GS158" s="119"/>
      <c r="GT158" s="119"/>
      <c r="GU158" s="119"/>
      <c r="GV158" s="119"/>
      <c r="GW158" s="119"/>
      <c r="GX158" s="119"/>
      <c r="GY158" s="119"/>
      <c r="GZ158" s="119"/>
      <c r="HA158" s="119"/>
      <c r="HB158" s="119"/>
      <c r="HC158" s="119"/>
      <c r="HD158" s="119"/>
      <c r="HE158" s="119"/>
      <c r="HF158" s="119"/>
      <c r="HG158" s="119"/>
      <c r="HH158" s="119"/>
      <c r="HI158" s="119"/>
      <c r="HJ158" s="119"/>
      <c r="HK158" s="119"/>
      <c r="HL158" s="119"/>
      <c r="HM158" s="119"/>
      <c r="HN158" s="119"/>
      <c r="HO158" s="119"/>
      <c r="HP158" s="119"/>
      <c r="HQ158" s="119"/>
      <c r="HR158" s="119"/>
      <c r="HS158" s="119"/>
      <c r="HT158" s="119"/>
      <c r="HU158" s="119"/>
      <c r="HV158" s="119"/>
      <c r="HW158" s="119"/>
      <c r="HX158" s="119"/>
      <c r="HY158" s="119"/>
      <c r="HZ158" s="119"/>
      <c r="IA158" s="119"/>
      <c r="IB158" s="119"/>
      <c r="IC158" s="119"/>
      <c r="ID158" s="119"/>
      <c r="IE158" s="119"/>
      <c r="IF158" s="119"/>
      <c r="IG158" s="119"/>
      <c r="IH158" s="119"/>
      <c r="II158" s="119"/>
      <c r="IJ158" s="119"/>
      <c r="IK158" s="119"/>
      <c r="IL158" s="119"/>
      <c r="IM158" s="119"/>
      <c r="IN158" s="119"/>
      <c r="IO158" s="119"/>
      <c r="IP158" s="119"/>
      <c r="IQ158" s="119"/>
      <c r="IR158" s="119"/>
      <c r="IS158" s="119"/>
      <c r="IT158" s="119"/>
      <c r="IU158" s="119"/>
      <c r="IV158" s="119"/>
      <c r="IW158" s="119"/>
    </row>
    <row r="159" spans="1:257" s="187" customFormat="1" ht="18" customHeight="1" x14ac:dyDescent="0.35">
      <c r="A159" s="195">
        <v>150</v>
      </c>
      <c r="B159" s="692"/>
      <c r="C159" s="120"/>
      <c r="D159" s="1265" t="s">
        <v>656</v>
      </c>
      <c r="E159" s="127"/>
      <c r="F159" s="127"/>
      <c r="G159" s="693"/>
      <c r="H159" s="224"/>
      <c r="I159" s="559"/>
      <c r="J159" s="559"/>
      <c r="K159" s="1282">
        <v>3810</v>
      </c>
      <c r="L159" s="1282"/>
      <c r="M159" s="1282">
        <v>494190</v>
      </c>
      <c r="N159" s="559"/>
      <c r="O159" s="1795"/>
      <c r="P159" s="1276">
        <f>SUM(I159:O159)</f>
        <v>498000</v>
      </c>
      <c r="Q159" s="694"/>
      <c r="R159" s="119"/>
      <c r="S159" s="119"/>
      <c r="T159" s="119"/>
      <c r="U159" s="119"/>
      <c r="V159" s="119"/>
      <c r="W159" s="119"/>
      <c r="X159" s="119"/>
      <c r="Y159" s="119"/>
      <c r="Z159" s="119"/>
      <c r="AA159" s="119"/>
      <c r="AB159" s="119"/>
      <c r="AC159" s="119"/>
      <c r="AD159" s="119"/>
      <c r="AE159" s="119"/>
      <c r="AF159" s="119"/>
      <c r="AG159" s="119"/>
      <c r="AH159" s="119"/>
      <c r="AI159" s="119"/>
      <c r="AJ159" s="119"/>
      <c r="AK159" s="119"/>
      <c r="AL159" s="119"/>
      <c r="AM159" s="119"/>
      <c r="AN159" s="119"/>
      <c r="AO159" s="119"/>
      <c r="AP159" s="119"/>
      <c r="AQ159" s="119"/>
      <c r="AR159" s="119"/>
      <c r="AS159" s="119"/>
      <c r="AT159" s="119"/>
      <c r="AU159" s="119"/>
      <c r="AV159" s="119"/>
      <c r="AW159" s="119"/>
      <c r="AX159" s="119"/>
      <c r="AY159" s="119"/>
      <c r="AZ159" s="119"/>
      <c r="BA159" s="119"/>
      <c r="BB159" s="119"/>
      <c r="BC159" s="119"/>
      <c r="BD159" s="119"/>
      <c r="BE159" s="119"/>
      <c r="BF159" s="119"/>
      <c r="BG159" s="119"/>
      <c r="BH159" s="119"/>
      <c r="BI159" s="119"/>
      <c r="BJ159" s="119"/>
      <c r="BK159" s="119"/>
      <c r="BL159" s="119"/>
      <c r="BM159" s="119"/>
      <c r="BN159" s="119"/>
      <c r="BO159" s="119"/>
      <c r="BP159" s="119"/>
      <c r="BQ159" s="119"/>
      <c r="BR159" s="119"/>
      <c r="BS159" s="119"/>
      <c r="BT159" s="119"/>
      <c r="BU159" s="119"/>
      <c r="BV159" s="119"/>
      <c r="BW159" s="119"/>
      <c r="BX159" s="119"/>
      <c r="BY159" s="119"/>
      <c r="BZ159" s="119"/>
      <c r="CA159" s="119"/>
      <c r="CB159" s="119"/>
      <c r="CC159" s="119"/>
      <c r="CD159" s="119"/>
      <c r="CE159" s="119"/>
      <c r="CF159" s="119"/>
      <c r="CG159" s="119"/>
      <c r="CH159" s="119"/>
      <c r="CI159" s="119"/>
      <c r="CJ159" s="119"/>
      <c r="CK159" s="119"/>
      <c r="CL159" s="119"/>
      <c r="CM159" s="119"/>
      <c r="CN159" s="119"/>
      <c r="CO159" s="119"/>
      <c r="CP159" s="119"/>
      <c r="CQ159" s="119"/>
      <c r="CR159" s="119"/>
      <c r="CS159" s="119"/>
      <c r="CT159" s="119"/>
      <c r="CU159" s="119"/>
      <c r="CV159" s="119"/>
      <c r="CW159" s="119"/>
      <c r="CX159" s="119"/>
      <c r="CY159" s="119"/>
      <c r="CZ159" s="119"/>
      <c r="DA159" s="119"/>
      <c r="DB159" s="119"/>
      <c r="DC159" s="119"/>
      <c r="DD159" s="119"/>
      <c r="DE159" s="119"/>
      <c r="DF159" s="119"/>
      <c r="DG159" s="119"/>
      <c r="DH159" s="119"/>
      <c r="DI159" s="119"/>
      <c r="DJ159" s="119"/>
      <c r="DK159" s="119"/>
      <c r="DL159" s="119"/>
      <c r="DM159" s="119"/>
      <c r="DN159" s="119"/>
      <c r="DO159" s="119"/>
      <c r="DP159" s="119"/>
      <c r="DQ159" s="119"/>
      <c r="DR159" s="119"/>
      <c r="DS159" s="119"/>
      <c r="DT159" s="119"/>
      <c r="DU159" s="119"/>
      <c r="DV159" s="119"/>
      <c r="DW159" s="119"/>
      <c r="DX159" s="119"/>
      <c r="DY159" s="119"/>
      <c r="DZ159" s="119"/>
      <c r="EA159" s="119"/>
      <c r="EB159" s="119"/>
      <c r="EC159" s="119"/>
      <c r="ED159" s="119"/>
      <c r="EE159" s="119"/>
      <c r="EF159" s="119"/>
      <c r="EG159" s="119"/>
      <c r="EH159" s="119"/>
      <c r="EI159" s="119"/>
      <c r="EJ159" s="119"/>
      <c r="EK159" s="119"/>
      <c r="EL159" s="119"/>
      <c r="EM159" s="119"/>
      <c r="EN159" s="119"/>
      <c r="EO159" s="119"/>
      <c r="EP159" s="119"/>
      <c r="EQ159" s="119"/>
      <c r="ER159" s="119"/>
      <c r="ES159" s="119"/>
      <c r="ET159" s="119"/>
      <c r="EU159" s="119"/>
      <c r="EV159" s="119"/>
      <c r="EW159" s="119"/>
      <c r="EX159" s="119"/>
      <c r="EY159" s="119"/>
      <c r="EZ159" s="119"/>
      <c r="FA159" s="119"/>
      <c r="FB159" s="119"/>
      <c r="FC159" s="119"/>
      <c r="FD159" s="119"/>
      <c r="FE159" s="119"/>
      <c r="FF159" s="119"/>
      <c r="FG159" s="119"/>
      <c r="FH159" s="119"/>
      <c r="FI159" s="119"/>
      <c r="FJ159" s="119"/>
      <c r="FK159" s="119"/>
      <c r="FL159" s="119"/>
      <c r="FM159" s="119"/>
      <c r="FN159" s="119"/>
      <c r="FO159" s="119"/>
      <c r="FP159" s="119"/>
      <c r="FQ159" s="119"/>
      <c r="FR159" s="119"/>
      <c r="FS159" s="119"/>
      <c r="FT159" s="119"/>
      <c r="FU159" s="119"/>
      <c r="FV159" s="119"/>
      <c r="FW159" s="119"/>
      <c r="FX159" s="119"/>
      <c r="FY159" s="119"/>
      <c r="FZ159" s="119"/>
      <c r="GA159" s="119"/>
      <c r="GB159" s="119"/>
      <c r="GC159" s="119"/>
      <c r="GD159" s="119"/>
      <c r="GE159" s="119"/>
      <c r="GF159" s="119"/>
      <c r="GG159" s="119"/>
      <c r="GH159" s="119"/>
      <c r="GI159" s="119"/>
      <c r="GJ159" s="119"/>
      <c r="GK159" s="119"/>
      <c r="GL159" s="119"/>
      <c r="GM159" s="119"/>
      <c r="GN159" s="119"/>
      <c r="GO159" s="119"/>
      <c r="GP159" s="119"/>
      <c r="GQ159" s="119"/>
      <c r="GR159" s="119"/>
      <c r="GS159" s="119"/>
      <c r="GT159" s="119"/>
      <c r="GU159" s="119"/>
      <c r="GV159" s="119"/>
      <c r="GW159" s="119"/>
      <c r="GX159" s="119"/>
      <c r="GY159" s="119"/>
      <c r="GZ159" s="119"/>
      <c r="HA159" s="119"/>
      <c r="HB159" s="119"/>
      <c r="HC159" s="119"/>
      <c r="HD159" s="119"/>
      <c r="HE159" s="119"/>
      <c r="HF159" s="119"/>
      <c r="HG159" s="119"/>
      <c r="HH159" s="119"/>
      <c r="HI159" s="119"/>
      <c r="HJ159" s="119"/>
      <c r="HK159" s="119"/>
      <c r="HL159" s="119"/>
      <c r="HM159" s="119"/>
      <c r="HN159" s="119"/>
      <c r="HO159" s="119"/>
      <c r="HP159" s="119"/>
      <c r="HQ159" s="119"/>
      <c r="HR159" s="119"/>
      <c r="HS159" s="119"/>
      <c r="HT159" s="119"/>
      <c r="HU159" s="119"/>
      <c r="HV159" s="119"/>
      <c r="HW159" s="119"/>
      <c r="HX159" s="119"/>
      <c r="HY159" s="119"/>
      <c r="HZ159" s="119"/>
      <c r="IA159" s="119"/>
      <c r="IB159" s="119"/>
      <c r="IC159" s="119"/>
      <c r="ID159" s="119"/>
      <c r="IE159" s="119"/>
      <c r="IF159" s="119"/>
      <c r="IG159" s="119"/>
      <c r="IH159" s="119"/>
      <c r="II159" s="119"/>
      <c r="IJ159" s="119"/>
      <c r="IK159" s="119"/>
      <c r="IL159" s="119"/>
      <c r="IM159" s="119"/>
      <c r="IN159" s="119"/>
      <c r="IO159" s="119"/>
      <c r="IP159" s="119"/>
      <c r="IQ159" s="119"/>
      <c r="IR159" s="119"/>
      <c r="IS159" s="119"/>
      <c r="IT159" s="119"/>
      <c r="IU159" s="119"/>
      <c r="IV159" s="119"/>
      <c r="IW159" s="119"/>
    </row>
    <row r="160" spans="1:257" s="187" customFormat="1" ht="18" customHeight="1" x14ac:dyDescent="0.35">
      <c r="A160" s="195">
        <v>151</v>
      </c>
      <c r="B160" s="692"/>
      <c r="C160" s="120"/>
      <c r="D160" s="1268" t="s">
        <v>862</v>
      </c>
      <c r="E160" s="127"/>
      <c r="F160" s="127"/>
      <c r="G160" s="693"/>
      <c r="H160" s="224"/>
      <c r="I160" s="559"/>
      <c r="J160" s="559"/>
      <c r="K160" s="559">
        <f>SUM(K159)</f>
        <v>3810</v>
      </c>
      <c r="L160" s="559"/>
      <c r="M160" s="559">
        <f>SUM(M159)</f>
        <v>494190</v>
      </c>
      <c r="N160" s="559"/>
      <c r="O160" s="1795"/>
      <c r="P160" s="1275">
        <f>SUM(I160:O160)</f>
        <v>498000</v>
      </c>
      <c r="Q160" s="694"/>
      <c r="R160" s="119"/>
      <c r="S160" s="119"/>
      <c r="T160" s="119"/>
      <c r="U160" s="119"/>
      <c r="V160" s="119"/>
      <c r="W160" s="119"/>
      <c r="X160" s="119"/>
      <c r="Y160" s="119"/>
      <c r="Z160" s="119"/>
      <c r="AA160" s="119"/>
      <c r="AB160" s="119"/>
      <c r="AC160" s="119"/>
      <c r="AD160" s="119"/>
      <c r="AE160" s="119"/>
      <c r="AF160" s="119"/>
      <c r="AG160" s="119"/>
      <c r="AH160" s="119"/>
      <c r="AI160" s="119"/>
      <c r="AJ160" s="119"/>
      <c r="AK160" s="119"/>
      <c r="AL160" s="119"/>
      <c r="AM160" s="119"/>
      <c r="AN160" s="119"/>
      <c r="AO160" s="119"/>
      <c r="AP160" s="119"/>
      <c r="AQ160" s="119"/>
      <c r="AR160" s="119"/>
      <c r="AS160" s="119"/>
      <c r="AT160" s="119"/>
      <c r="AU160" s="119"/>
      <c r="AV160" s="119"/>
      <c r="AW160" s="119"/>
      <c r="AX160" s="119"/>
      <c r="AY160" s="119"/>
      <c r="AZ160" s="119"/>
      <c r="BA160" s="119"/>
      <c r="BB160" s="119"/>
      <c r="BC160" s="119"/>
      <c r="BD160" s="119"/>
      <c r="BE160" s="119"/>
      <c r="BF160" s="119"/>
      <c r="BG160" s="119"/>
      <c r="BH160" s="119"/>
      <c r="BI160" s="119"/>
      <c r="BJ160" s="119"/>
      <c r="BK160" s="119"/>
      <c r="BL160" s="119"/>
      <c r="BM160" s="119"/>
      <c r="BN160" s="119"/>
      <c r="BO160" s="119"/>
      <c r="BP160" s="119"/>
      <c r="BQ160" s="119"/>
      <c r="BR160" s="119"/>
      <c r="BS160" s="119"/>
      <c r="BT160" s="119"/>
      <c r="BU160" s="119"/>
      <c r="BV160" s="119"/>
      <c r="BW160" s="119"/>
      <c r="BX160" s="119"/>
      <c r="BY160" s="119"/>
      <c r="BZ160" s="119"/>
      <c r="CA160" s="119"/>
      <c r="CB160" s="119"/>
      <c r="CC160" s="119"/>
      <c r="CD160" s="119"/>
      <c r="CE160" s="119"/>
      <c r="CF160" s="119"/>
      <c r="CG160" s="119"/>
      <c r="CH160" s="119"/>
      <c r="CI160" s="119"/>
      <c r="CJ160" s="119"/>
      <c r="CK160" s="119"/>
      <c r="CL160" s="119"/>
      <c r="CM160" s="119"/>
      <c r="CN160" s="119"/>
      <c r="CO160" s="119"/>
      <c r="CP160" s="119"/>
      <c r="CQ160" s="119"/>
      <c r="CR160" s="119"/>
      <c r="CS160" s="119"/>
      <c r="CT160" s="119"/>
      <c r="CU160" s="119"/>
      <c r="CV160" s="119"/>
      <c r="CW160" s="119"/>
      <c r="CX160" s="119"/>
      <c r="CY160" s="119"/>
      <c r="CZ160" s="119"/>
      <c r="DA160" s="119"/>
      <c r="DB160" s="119"/>
      <c r="DC160" s="119"/>
      <c r="DD160" s="119"/>
      <c r="DE160" s="119"/>
      <c r="DF160" s="119"/>
      <c r="DG160" s="119"/>
      <c r="DH160" s="119"/>
      <c r="DI160" s="119"/>
      <c r="DJ160" s="119"/>
      <c r="DK160" s="119"/>
      <c r="DL160" s="119"/>
      <c r="DM160" s="119"/>
      <c r="DN160" s="119"/>
      <c r="DO160" s="119"/>
      <c r="DP160" s="119"/>
      <c r="DQ160" s="119"/>
      <c r="DR160" s="119"/>
      <c r="DS160" s="119"/>
      <c r="DT160" s="119"/>
      <c r="DU160" s="119"/>
      <c r="DV160" s="119"/>
      <c r="DW160" s="119"/>
      <c r="DX160" s="119"/>
      <c r="DY160" s="119"/>
      <c r="DZ160" s="119"/>
      <c r="EA160" s="119"/>
      <c r="EB160" s="119"/>
      <c r="EC160" s="119"/>
      <c r="ED160" s="119"/>
      <c r="EE160" s="119"/>
      <c r="EF160" s="119"/>
      <c r="EG160" s="119"/>
      <c r="EH160" s="119"/>
      <c r="EI160" s="119"/>
      <c r="EJ160" s="119"/>
      <c r="EK160" s="119"/>
      <c r="EL160" s="119"/>
      <c r="EM160" s="119"/>
      <c r="EN160" s="119"/>
      <c r="EO160" s="119"/>
      <c r="EP160" s="119"/>
      <c r="EQ160" s="119"/>
      <c r="ER160" s="119"/>
      <c r="ES160" s="119"/>
      <c r="ET160" s="119"/>
      <c r="EU160" s="119"/>
      <c r="EV160" s="119"/>
      <c r="EW160" s="119"/>
      <c r="EX160" s="119"/>
      <c r="EY160" s="119"/>
      <c r="EZ160" s="119"/>
      <c r="FA160" s="119"/>
      <c r="FB160" s="119"/>
      <c r="FC160" s="119"/>
      <c r="FD160" s="119"/>
      <c r="FE160" s="119"/>
      <c r="FF160" s="119"/>
      <c r="FG160" s="119"/>
      <c r="FH160" s="119"/>
      <c r="FI160" s="119"/>
      <c r="FJ160" s="119"/>
      <c r="FK160" s="119"/>
      <c r="FL160" s="119"/>
      <c r="FM160" s="119"/>
      <c r="FN160" s="119"/>
      <c r="FO160" s="119"/>
      <c r="FP160" s="119"/>
      <c r="FQ160" s="119"/>
      <c r="FR160" s="119"/>
      <c r="FS160" s="119"/>
      <c r="FT160" s="119"/>
      <c r="FU160" s="119"/>
      <c r="FV160" s="119"/>
      <c r="FW160" s="119"/>
      <c r="FX160" s="119"/>
      <c r="FY160" s="119"/>
      <c r="FZ160" s="119"/>
      <c r="GA160" s="119"/>
      <c r="GB160" s="119"/>
      <c r="GC160" s="119"/>
      <c r="GD160" s="119"/>
      <c r="GE160" s="119"/>
      <c r="GF160" s="119"/>
      <c r="GG160" s="119"/>
      <c r="GH160" s="119"/>
      <c r="GI160" s="119"/>
      <c r="GJ160" s="119"/>
      <c r="GK160" s="119"/>
      <c r="GL160" s="119"/>
      <c r="GM160" s="119"/>
      <c r="GN160" s="119"/>
      <c r="GO160" s="119"/>
      <c r="GP160" s="119"/>
      <c r="GQ160" s="119"/>
      <c r="GR160" s="119"/>
      <c r="GS160" s="119"/>
      <c r="GT160" s="119"/>
      <c r="GU160" s="119"/>
      <c r="GV160" s="119"/>
      <c r="GW160" s="119"/>
      <c r="GX160" s="119"/>
      <c r="GY160" s="119"/>
      <c r="GZ160" s="119"/>
      <c r="HA160" s="119"/>
      <c r="HB160" s="119"/>
      <c r="HC160" s="119"/>
      <c r="HD160" s="119"/>
      <c r="HE160" s="119"/>
      <c r="HF160" s="119"/>
      <c r="HG160" s="119"/>
      <c r="HH160" s="119"/>
      <c r="HI160" s="119"/>
      <c r="HJ160" s="119"/>
      <c r="HK160" s="119"/>
      <c r="HL160" s="119"/>
      <c r="HM160" s="119"/>
      <c r="HN160" s="119"/>
      <c r="HO160" s="119"/>
      <c r="HP160" s="119"/>
      <c r="HQ160" s="119"/>
      <c r="HR160" s="119"/>
      <c r="HS160" s="119"/>
      <c r="HT160" s="119"/>
      <c r="HU160" s="119"/>
      <c r="HV160" s="119"/>
      <c r="HW160" s="119"/>
      <c r="HX160" s="119"/>
      <c r="HY160" s="119"/>
      <c r="HZ160" s="119"/>
      <c r="IA160" s="119"/>
      <c r="IB160" s="119"/>
      <c r="IC160" s="119"/>
      <c r="ID160" s="119"/>
      <c r="IE160" s="119"/>
      <c r="IF160" s="119"/>
      <c r="IG160" s="119"/>
      <c r="IH160" s="119"/>
      <c r="II160" s="119"/>
      <c r="IJ160" s="119"/>
      <c r="IK160" s="119"/>
      <c r="IL160" s="119"/>
      <c r="IM160" s="119"/>
      <c r="IN160" s="119"/>
      <c r="IO160" s="119"/>
      <c r="IP160" s="119"/>
      <c r="IQ160" s="119"/>
      <c r="IR160" s="119"/>
      <c r="IS160" s="119"/>
      <c r="IT160" s="119"/>
      <c r="IU160" s="119"/>
      <c r="IV160" s="119"/>
      <c r="IW160" s="119"/>
    </row>
    <row r="161" spans="1:257" s="187" customFormat="1" ht="35.25" customHeight="1" x14ac:dyDescent="0.35">
      <c r="A161" s="195">
        <v>152</v>
      </c>
      <c r="B161" s="692"/>
      <c r="C161" s="120">
        <v>52</v>
      </c>
      <c r="D161" s="688" t="s">
        <v>1029</v>
      </c>
      <c r="E161" s="127">
        <f>F161+G161+P163</f>
        <v>19663</v>
      </c>
      <c r="F161" s="127"/>
      <c r="G161" s="693"/>
      <c r="H161" s="224" t="s">
        <v>24</v>
      </c>
      <c r="I161" s="559"/>
      <c r="J161" s="559"/>
      <c r="K161" s="559"/>
      <c r="L161" s="559"/>
      <c r="M161" s="559"/>
      <c r="N161" s="559"/>
      <c r="O161" s="1795"/>
      <c r="P161" s="1275"/>
      <c r="Q161" s="694"/>
      <c r="R161" s="119"/>
      <c r="S161" s="119"/>
      <c r="T161" s="119"/>
      <c r="U161" s="119"/>
      <c r="V161" s="119"/>
      <c r="W161" s="119"/>
      <c r="X161" s="119"/>
      <c r="Y161" s="119"/>
      <c r="Z161" s="119"/>
      <c r="AA161" s="119"/>
      <c r="AB161" s="119"/>
      <c r="AC161" s="119"/>
      <c r="AD161" s="119"/>
      <c r="AE161" s="119"/>
      <c r="AF161" s="119"/>
      <c r="AG161" s="119"/>
      <c r="AH161" s="119"/>
      <c r="AI161" s="119"/>
      <c r="AJ161" s="119"/>
      <c r="AK161" s="119"/>
      <c r="AL161" s="119"/>
      <c r="AM161" s="119"/>
      <c r="AN161" s="119"/>
      <c r="AO161" s="119"/>
      <c r="AP161" s="119"/>
      <c r="AQ161" s="119"/>
      <c r="AR161" s="119"/>
      <c r="AS161" s="119"/>
      <c r="AT161" s="119"/>
      <c r="AU161" s="119"/>
      <c r="AV161" s="119"/>
      <c r="AW161" s="119"/>
      <c r="AX161" s="119"/>
      <c r="AY161" s="119"/>
      <c r="AZ161" s="119"/>
      <c r="BA161" s="119"/>
      <c r="BB161" s="119"/>
      <c r="BC161" s="119"/>
      <c r="BD161" s="119"/>
      <c r="BE161" s="119"/>
      <c r="BF161" s="119"/>
      <c r="BG161" s="119"/>
      <c r="BH161" s="119"/>
      <c r="BI161" s="119"/>
      <c r="BJ161" s="119"/>
      <c r="BK161" s="119"/>
      <c r="BL161" s="119"/>
      <c r="BM161" s="119"/>
      <c r="BN161" s="119"/>
      <c r="BO161" s="119"/>
      <c r="BP161" s="119"/>
      <c r="BQ161" s="119"/>
      <c r="BR161" s="119"/>
      <c r="BS161" s="119"/>
      <c r="BT161" s="119"/>
      <c r="BU161" s="119"/>
      <c r="BV161" s="119"/>
      <c r="BW161" s="119"/>
      <c r="BX161" s="119"/>
      <c r="BY161" s="119"/>
      <c r="BZ161" s="119"/>
      <c r="CA161" s="119"/>
      <c r="CB161" s="119"/>
      <c r="CC161" s="119"/>
      <c r="CD161" s="119"/>
      <c r="CE161" s="119"/>
      <c r="CF161" s="119"/>
      <c r="CG161" s="119"/>
      <c r="CH161" s="119"/>
      <c r="CI161" s="119"/>
      <c r="CJ161" s="119"/>
      <c r="CK161" s="119"/>
      <c r="CL161" s="119"/>
      <c r="CM161" s="119"/>
      <c r="CN161" s="119"/>
      <c r="CO161" s="119"/>
      <c r="CP161" s="119"/>
      <c r="CQ161" s="119"/>
      <c r="CR161" s="119"/>
      <c r="CS161" s="119"/>
      <c r="CT161" s="119"/>
      <c r="CU161" s="119"/>
      <c r="CV161" s="119"/>
      <c r="CW161" s="119"/>
      <c r="CX161" s="119"/>
      <c r="CY161" s="119"/>
      <c r="CZ161" s="119"/>
      <c r="DA161" s="119"/>
      <c r="DB161" s="119"/>
      <c r="DC161" s="119"/>
      <c r="DD161" s="119"/>
      <c r="DE161" s="119"/>
      <c r="DF161" s="119"/>
      <c r="DG161" s="119"/>
      <c r="DH161" s="119"/>
      <c r="DI161" s="119"/>
      <c r="DJ161" s="119"/>
      <c r="DK161" s="119"/>
      <c r="DL161" s="119"/>
      <c r="DM161" s="119"/>
      <c r="DN161" s="119"/>
      <c r="DO161" s="119"/>
      <c r="DP161" s="119"/>
      <c r="DQ161" s="119"/>
      <c r="DR161" s="119"/>
      <c r="DS161" s="119"/>
      <c r="DT161" s="119"/>
      <c r="DU161" s="119"/>
      <c r="DV161" s="119"/>
      <c r="DW161" s="119"/>
      <c r="DX161" s="119"/>
      <c r="DY161" s="119"/>
      <c r="DZ161" s="119"/>
      <c r="EA161" s="119"/>
      <c r="EB161" s="119"/>
      <c r="EC161" s="119"/>
      <c r="ED161" s="119"/>
      <c r="EE161" s="119"/>
      <c r="EF161" s="119"/>
      <c r="EG161" s="119"/>
      <c r="EH161" s="119"/>
      <c r="EI161" s="119"/>
      <c r="EJ161" s="119"/>
      <c r="EK161" s="119"/>
      <c r="EL161" s="119"/>
      <c r="EM161" s="119"/>
      <c r="EN161" s="119"/>
      <c r="EO161" s="119"/>
      <c r="EP161" s="119"/>
      <c r="EQ161" s="119"/>
      <c r="ER161" s="119"/>
      <c r="ES161" s="119"/>
      <c r="ET161" s="119"/>
      <c r="EU161" s="119"/>
      <c r="EV161" s="119"/>
      <c r="EW161" s="119"/>
      <c r="EX161" s="119"/>
      <c r="EY161" s="119"/>
      <c r="EZ161" s="119"/>
      <c r="FA161" s="119"/>
      <c r="FB161" s="119"/>
      <c r="FC161" s="119"/>
      <c r="FD161" s="119"/>
      <c r="FE161" s="119"/>
      <c r="FF161" s="119"/>
      <c r="FG161" s="119"/>
      <c r="FH161" s="119"/>
      <c r="FI161" s="119"/>
      <c r="FJ161" s="119"/>
      <c r="FK161" s="119"/>
      <c r="FL161" s="119"/>
      <c r="FM161" s="119"/>
      <c r="FN161" s="119"/>
      <c r="FO161" s="119"/>
      <c r="FP161" s="119"/>
      <c r="FQ161" s="119"/>
      <c r="FR161" s="119"/>
      <c r="FS161" s="119"/>
      <c r="FT161" s="119"/>
      <c r="FU161" s="119"/>
      <c r="FV161" s="119"/>
      <c r="FW161" s="119"/>
      <c r="FX161" s="119"/>
      <c r="FY161" s="119"/>
      <c r="FZ161" s="119"/>
      <c r="GA161" s="119"/>
      <c r="GB161" s="119"/>
      <c r="GC161" s="119"/>
      <c r="GD161" s="119"/>
      <c r="GE161" s="119"/>
      <c r="GF161" s="119"/>
      <c r="GG161" s="119"/>
      <c r="GH161" s="119"/>
      <c r="GI161" s="119"/>
      <c r="GJ161" s="119"/>
      <c r="GK161" s="119"/>
      <c r="GL161" s="119"/>
      <c r="GM161" s="119"/>
      <c r="GN161" s="119"/>
      <c r="GO161" s="119"/>
      <c r="GP161" s="119"/>
      <c r="GQ161" s="119"/>
      <c r="GR161" s="119"/>
      <c r="GS161" s="119"/>
      <c r="GT161" s="119"/>
      <c r="GU161" s="119"/>
      <c r="GV161" s="119"/>
      <c r="GW161" s="119"/>
      <c r="GX161" s="119"/>
      <c r="GY161" s="119"/>
      <c r="GZ161" s="119"/>
      <c r="HA161" s="119"/>
      <c r="HB161" s="119"/>
      <c r="HC161" s="119"/>
      <c r="HD161" s="119"/>
      <c r="HE161" s="119"/>
      <c r="HF161" s="119"/>
      <c r="HG161" s="119"/>
      <c r="HH161" s="119"/>
      <c r="HI161" s="119"/>
      <c r="HJ161" s="119"/>
      <c r="HK161" s="119"/>
      <c r="HL161" s="119"/>
      <c r="HM161" s="119"/>
      <c r="HN161" s="119"/>
      <c r="HO161" s="119"/>
      <c r="HP161" s="119"/>
      <c r="HQ161" s="119"/>
      <c r="HR161" s="119"/>
      <c r="HS161" s="119"/>
      <c r="HT161" s="119"/>
      <c r="HU161" s="119"/>
      <c r="HV161" s="119"/>
      <c r="HW161" s="119"/>
      <c r="HX161" s="119"/>
      <c r="HY161" s="119"/>
      <c r="HZ161" s="119"/>
      <c r="IA161" s="119"/>
      <c r="IB161" s="119"/>
      <c r="IC161" s="119"/>
      <c r="ID161" s="119"/>
      <c r="IE161" s="119"/>
      <c r="IF161" s="119"/>
      <c r="IG161" s="119"/>
      <c r="IH161" s="119"/>
      <c r="II161" s="119"/>
      <c r="IJ161" s="119"/>
      <c r="IK161" s="119"/>
      <c r="IL161" s="119"/>
      <c r="IM161" s="119"/>
      <c r="IN161" s="119"/>
      <c r="IO161" s="119"/>
      <c r="IP161" s="119"/>
      <c r="IQ161" s="119"/>
      <c r="IR161" s="119"/>
      <c r="IS161" s="119"/>
      <c r="IT161" s="119"/>
      <c r="IU161" s="119"/>
      <c r="IV161" s="119"/>
      <c r="IW161" s="119"/>
    </row>
    <row r="162" spans="1:257" s="187" customFormat="1" ht="18" customHeight="1" x14ac:dyDescent="0.35">
      <c r="A162" s="195">
        <v>153</v>
      </c>
      <c r="B162" s="692"/>
      <c r="C162" s="120"/>
      <c r="D162" s="1265" t="s">
        <v>656</v>
      </c>
      <c r="E162" s="127"/>
      <c r="F162" s="127"/>
      <c r="G162" s="693"/>
      <c r="H162" s="224"/>
      <c r="I162" s="1282"/>
      <c r="J162" s="1282"/>
      <c r="K162" s="1282">
        <v>19663</v>
      </c>
      <c r="L162" s="559"/>
      <c r="M162" s="559"/>
      <c r="N162" s="559"/>
      <c r="O162" s="1795"/>
      <c r="P162" s="1276">
        <f>SUM(I162:O162)</f>
        <v>19663</v>
      </c>
      <c r="Q162" s="694"/>
      <c r="R162" s="119"/>
      <c r="S162" s="119"/>
      <c r="T162" s="119"/>
      <c r="U162" s="119"/>
      <c r="V162" s="119"/>
      <c r="W162" s="119"/>
      <c r="X162" s="119"/>
      <c r="Y162" s="119"/>
      <c r="Z162" s="119"/>
      <c r="AA162" s="119"/>
      <c r="AB162" s="119"/>
      <c r="AC162" s="119"/>
      <c r="AD162" s="119"/>
      <c r="AE162" s="119"/>
      <c r="AF162" s="119"/>
      <c r="AG162" s="119"/>
      <c r="AH162" s="119"/>
      <c r="AI162" s="119"/>
      <c r="AJ162" s="119"/>
      <c r="AK162" s="119"/>
      <c r="AL162" s="119"/>
      <c r="AM162" s="119"/>
      <c r="AN162" s="119"/>
      <c r="AO162" s="119"/>
      <c r="AP162" s="119"/>
      <c r="AQ162" s="119"/>
      <c r="AR162" s="119"/>
      <c r="AS162" s="119"/>
      <c r="AT162" s="119"/>
      <c r="AU162" s="119"/>
      <c r="AV162" s="119"/>
      <c r="AW162" s="119"/>
      <c r="AX162" s="119"/>
      <c r="AY162" s="119"/>
      <c r="AZ162" s="119"/>
      <c r="BA162" s="119"/>
      <c r="BB162" s="119"/>
      <c r="BC162" s="119"/>
      <c r="BD162" s="119"/>
      <c r="BE162" s="119"/>
      <c r="BF162" s="119"/>
      <c r="BG162" s="119"/>
      <c r="BH162" s="119"/>
      <c r="BI162" s="119"/>
      <c r="BJ162" s="119"/>
      <c r="BK162" s="119"/>
      <c r="BL162" s="119"/>
      <c r="BM162" s="119"/>
      <c r="BN162" s="119"/>
      <c r="BO162" s="119"/>
      <c r="BP162" s="119"/>
      <c r="BQ162" s="119"/>
      <c r="BR162" s="119"/>
      <c r="BS162" s="119"/>
      <c r="BT162" s="119"/>
      <c r="BU162" s="119"/>
      <c r="BV162" s="119"/>
      <c r="BW162" s="119"/>
      <c r="BX162" s="119"/>
      <c r="BY162" s="119"/>
      <c r="BZ162" s="119"/>
      <c r="CA162" s="119"/>
      <c r="CB162" s="119"/>
      <c r="CC162" s="119"/>
      <c r="CD162" s="119"/>
      <c r="CE162" s="119"/>
      <c r="CF162" s="119"/>
      <c r="CG162" s="119"/>
      <c r="CH162" s="119"/>
      <c r="CI162" s="119"/>
      <c r="CJ162" s="119"/>
      <c r="CK162" s="119"/>
      <c r="CL162" s="119"/>
      <c r="CM162" s="119"/>
      <c r="CN162" s="119"/>
      <c r="CO162" s="119"/>
      <c r="CP162" s="119"/>
      <c r="CQ162" s="119"/>
      <c r="CR162" s="119"/>
      <c r="CS162" s="119"/>
      <c r="CT162" s="119"/>
      <c r="CU162" s="119"/>
      <c r="CV162" s="119"/>
      <c r="CW162" s="119"/>
      <c r="CX162" s="119"/>
      <c r="CY162" s="119"/>
      <c r="CZ162" s="119"/>
      <c r="DA162" s="119"/>
      <c r="DB162" s="119"/>
      <c r="DC162" s="119"/>
      <c r="DD162" s="119"/>
      <c r="DE162" s="119"/>
      <c r="DF162" s="119"/>
      <c r="DG162" s="119"/>
      <c r="DH162" s="119"/>
      <c r="DI162" s="119"/>
      <c r="DJ162" s="119"/>
      <c r="DK162" s="119"/>
      <c r="DL162" s="119"/>
      <c r="DM162" s="119"/>
      <c r="DN162" s="119"/>
      <c r="DO162" s="119"/>
      <c r="DP162" s="119"/>
      <c r="DQ162" s="119"/>
      <c r="DR162" s="119"/>
      <c r="DS162" s="119"/>
      <c r="DT162" s="119"/>
      <c r="DU162" s="119"/>
      <c r="DV162" s="119"/>
      <c r="DW162" s="119"/>
      <c r="DX162" s="119"/>
      <c r="DY162" s="119"/>
      <c r="DZ162" s="119"/>
      <c r="EA162" s="119"/>
      <c r="EB162" s="119"/>
      <c r="EC162" s="119"/>
      <c r="ED162" s="119"/>
      <c r="EE162" s="119"/>
      <c r="EF162" s="119"/>
      <c r="EG162" s="119"/>
      <c r="EH162" s="119"/>
      <c r="EI162" s="119"/>
      <c r="EJ162" s="119"/>
      <c r="EK162" s="119"/>
      <c r="EL162" s="119"/>
      <c r="EM162" s="119"/>
      <c r="EN162" s="119"/>
      <c r="EO162" s="119"/>
      <c r="EP162" s="119"/>
      <c r="EQ162" s="119"/>
      <c r="ER162" s="119"/>
      <c r="ES162" s="119"/>
      <c r="ET162" s="119"/>
      <c r="EU162" s="119"/>
      <c r="EV162" s="119"/>
      <c r="EW162" s="119"/>
      <c r="EX162" s="119"/>
      <c r="EY162" s="119"/>
      <c r="EZ162" s="119"/>
      <c r="FA162" s="119"/>
      <c r="FB162" s="119"/>
      <c r="FC162" s="119"/>
      <c r="FD162" s="119"/>
      <c r="FE162" s="119"/>
      <c r="FF162" s="119"/>
      <c r="FG162" s="119"/>
      <c r="FH162" s="119"/>
      <c r="FI162" s="119"/>
      <c r="FJ162" s="119"/>
      <c r="FK162" s="119"/>
      <c r="FL162" s="119"/>
      <c r="FM162" s="119"/>
      <c r="FN162" s="119"/>
      <c r="FO162" s="119"/>
      <c r="FP162" s="119"/>
      <c r="FQ162" s="119"/>
      <c r="FR162" s="119"/>
      <c r="FS162" s="119"/>
      <c r="FT162" s="119"/>
      <c r="FU162" s="119"/>
      <c r="FV162" s="119"/>
      <c r="FW162" s="119"/>
      <c r="FX162" s="119"/>
      <c r="FY162" s="119"/>
      <c r="FZ162" s="119"/>
      <c r="GA162" s="119"/>
      <c r="GB162" s="119"/>
      <c r="GC162" s="119"/>
      <c r="GD162" s="119"/>
      <c r="GE162" s="119"/>
      <c r="GF162" s="119"/>
      <c r="GG162" s="119"/>
      <c r="GH162" s="119"/>
      <c r="GI162" s="119"/>
      <c r="GJ162" s="119"/>
      <c r="GK162" s="119"/>
      <c r="GL162" s="119"/>
      <c r="GM162" s="119"/>
      <c r="GN162" s="119"/>
      <c r="GO162" s="119"/>
      <c r="GP162" s="119"/>
      <c r="GQ162" s="119"/>
      <c r="GR162" s="119"/>
      <c r="GS162" s="119"/>
      <c r="GT162" s="119"/>
      <c r="GU162" s="119"/>
      <c r="GV162" s="119"/>
      <c r="GW162" s="119"/>
      <c r="GX162" s="119"/>
      <c r="GY162" s="119"/>
      <c r="GZ162" s="119"/>
      <c r="HA162" s="119"/>
      <c r="HB162" s="119"/>
      <c r="HC162" s="119"/>
      <c r="HD162" s="119"/>
      <c r="HE162" s="119"/>
      <c r="HF162" s="119"/>
      <c r="HG162" s="119"/>
      <c r="HH162" s="119"/>
      <c r="HI162" s="119"/>
      <c r="HJ162" s="119"/>
      <c r="HK162" s="119"/>
      <c r="HL162" s="119"/>
      <c r="HM162" s="119"/>
      <c r="HN162" s="119"/>
      <c r="HO162" s="119"/>
      <c r="HP162" s="119"/>
      <c r="HQ162" s="119"/>
      <c r="HR162" s="119"/>
      <c r="HS162" s="119"/>
      <c r="HT162" s="119"/>
      <c r="HU162" s="119"/>
      <c r="HV162" s="119"/>
      <c r="HW162" s="119"/>
      <c r="HX162" s="119"/>
      <c r="HY162" s="119"/>
      <c r="HZ162" s="119"/>
      <c r="IA162" s="119"/>
      <c r="IB162" s="119"/>
      <c r="IC162" s="119"/>
      <c r="ID162" s="119"/>
      <c r="IE162" s="119"/>
      <c r="IF162" s="119"/>
      <c r="IG162" s="119"/>
      <c r="IH162" s="119"/>
      <c r="II162" s="119"/>
      <c r="IJ162" s="119"/>
      <c r="IK162" s="119"/>
      <c r="IL162" s="119"/>
      <c r="IM162" s="119"/>
      <c r="IN162" s="119"/>
      <c r="IO162" s="119"/>
      <c r="IP162" s="119"/>
      <c r="IQ162" s="119"/>
      <c r="IR162" s="119"/>
      <c r="IS162" s="119"/>
      <c r="IT162" s="119"/>
      <c r="IU162" s="119"/>
      <c r="IV162" s="119"/>
      <c r="IW162" s="119"/>
    </row>
    <row r="163" spans="1:257" s="187" customFormat="1" ht="18" customHeight="1" x14ac:dyDescent="0.35">
      <c r="A163" s="195">
        <v>154</v>
      </c>
      <c r="B163" s="692"/>
      <c r="C163" s="120"/>
      <c r="D163" s="1268" t="s">
        <v>862</v>
      </c>
      <c r="E163" s="127"/>
      <c r="F163" s="127"/>
      <c r="G163" s="693"/>
      <c r="H163" s="224"/>
      <c r="I163" s="559"/>
      <c r="J163" s="559"/>
      <c r="K163" s="559">
        <f t="shared" ref="K163" si="36">SUM(K162)</f>
        <v>19663</v>
      </c>
      <c r="L163" s="559"/>
      <c r="M163" s="559"/>
      <c r="N163" s="559"/>
      <c r="O163" s="1795"/>
      <c r="P163" s="1275">
        <f>SUM(I163:O163)</f>
        <v>19663</v>
      </c>
      <c r="Q163" s="694"/>
      <c r="R163" s="119"/>
      <c r="S163" s="119"/>
      <c r="T163" s="119"/>
      <c r="U163" s="119"/>
      <c r="V163" s="119"/>
      <c r="W163" s="119"/>
      <c r="X163" s="119"/>
      <c r="Y163" s="119"/>
      <c r="Z163" s="119"/>
      <c r="AA163" s="119"/>
      <c r="AB163" s="119"/>
      <c r="AC163" s="119"/>
      <c r="AD163" s="119"/>
      <c r="AE163" s="119"/>
      <c r="AF163" s="119"/>
      <c r="AG163" s="119"/>
      <c r="AH163" s="119"/>
      <c r="AI163" s="119"/>
      <c r="AJ163" s="119"/>
      <c r="AK163" s="119"/>
      <c r="AL163" s="119"/>
      <c r="AM163" s="119"/>
      <c r="AN163" s="119"/>
      <c r="AO163" s="119"/>
      <c r="AP163" s="119"/>
      <c r="AQ163" s="119"/>
      <c r="AR163" s="119"/>
      <c r="AS163" s="119"/>
      <c r="AT163" s="119"/>
      <c r="AU163" s="119"/>
      <c r="AV163" s="119"/>
      <c r="AW163" s="119"/>
      <c r="AX163" s="119"/>
      <c r="AY163" s="119"/>
      <c r="AZ163" s="119"/>
      <c r="BA163" s="119"/>
      <c r="BB163" s="119"/>
      <c r="BC163" s="119"/>
      <c r="BD163" s="119"/>
      <c r="BE163" s="119"/>
      <c r="BF163" s="119"/>
      <c r="BG163" s="119"/>
      <c r="BH163" s="119"/>
      <c r="BI163" s="119"/>
      <c r="BJ163" s="119"/>
      <c r="BK163" s="119"/>
      <c r="BL163" s="119"/>
      <c r="BM163" s="119"/>
      <c r="BN163" s="119"/>
      <c r="BO163" s="119"/>
      <c r="BP163" s="119"/>
      <c r="BQ163" s="119"/>
      <c r="BR163" s="119"/>
      <c r="BS163" s="119"/>
      <c r="BT163" s="119"/>
      <c r="BU163" s="119"/>
      <c r="BV163" s="119"/>
      <c r="BW163" s="119"/>
      <c r="BX163" s="119"/>
      <c r="BY163" s="119"/>
      <c r="BZ163" s="119"/>
      <c r="CA163" s="119"/>
      <c r="CB163" s="119"/>
      <c r="CC163" s="119"/>
      <c r="CD163" s="119"/>
      <c r="CE163" s="119"/>
      <c r="CF163" s="119"/>
      <c r="CG163" s="119"/>
      <c r="CH163" s="119"/>
      <c r="CI163" s="119"/>
      <c r="CJ163" s="119"/>
      <c r="CK163" s="119"/>
      <c r="CL163" s="119"/>
      <c r="CM163" s="119"/>
      <c r="CN163" s="119"/>
      <c r="CO163" s="119"/>
      <c r="CP163" s="119"/>
      <c r="CQ163" s="119"/>
      <c r="CR163" s="119"/>
      <c r="CS163" s="119"/>
      <c r="CT163" s="119"/>
      <c r="CU163" s="119"/>
      <c r="CV163" s="119"/>
      <c r="CW163" s="119"/>
      <c r="CX163" s="119"/>
      <c r="CY163" s="119"/>
      <c r="CZ163" s="119"/>
      <c r="DA163" s="119"/>
      <c r="DB163" s="119"/>
      <c r="DC163" s="119"/>
      <c r="DD163" s="119"/>
      <c r="DE163" s="119"/>
      <c r="DF163" s="119"/>
      <c r="DG163" s="119"/>
      <c r="DH163" s="119"/>
      <c r="DI163" s="119"/>
      <c r="DJ163" s="119"/>
      <c r="DK163" s="119"/>
      <c r="DL163" s="119"/>
      <c r="DM163" s="119"/>
      <c r="DN163" s="119"/>
      <c r="DO163" s="119"/>
      <c r="DP163" s="119"/>
      <c r="DQ163" s="119"/>
      <c r="DR163" s="119"/>
      <c r="DS163" s="119"/>
      <c r="DT163" s="119"/>
      <c r="DU163" s="119"/>
      <c r="DV163" s="119"/>
      <c r="DW163" s="119"/>
      <c r="DX163" s="119"/>
      <c r="DY163" s="119"/>
      <c r="DZ163" s="119"/>
      <c r="EA163" s="119"/>
      <c r="EB163" s="119"/>
      <c r="EC163" s="119"/>
      <c r="ED163" s="119"/>
      <c r="EE163" s="119"/>
      <c r="EF163" s="119"/>
      <c r="EG163" s="119"/>
      <c r="EH163" s="119"/>
      <c r="EI163" s="119"/>
      <c r="EJ163" s="119"/>
      <c r="EK163" s="119"/>
      <c r="EL163" s="119"/>
      <c r="EM163" s="119"/>
      <c r="EN163" s="119"/>
      <c r="EO163" s="119"/>
      <c r="EP163" s="119"/>
      <c r="EQ163" s="119"/>
      <c r="ER163" s="119"/>
      <c r="ES163" s="119"/>
      <c r="ET163" s="119"/>
      <c r="EU163" s="119"/>
      <c r="EV163" s="119"/>
      <c r="EW163" s="119"/>
      <c r="EX163" s="119"/>
      <c r="EY163" s="119"/>
      <c r="EZ163" s="119"/>
      <c r="FA163" s="119"/>
      <c r="FB163" s="119"/>
      <c r="FC163" s="119"/>
      <c r="FD163" s="119"/>
      <c r="FE163" s="119"/>
      <c r="FF163" s="119"/>
      <c r="FG163" s="119"/>
      <c r="FH163" s="119"/>
      <c r="FI163" s="119"/>
      <c r="FJ163" s="119"/>
      <c r="FK163" s="119"/>
      <c r="FL163" s="119"/>
      <c r="FM163" s="119"/>
      <c r="FN163" s="119"/>
      <c r="FO163" s="119"/>
      <c r="FP163" s="119"/>
      <c r="FQ163" s="119"/>
      <c r="FR163" s="119"/>
      <c r="FS163" s="119"/>
      <c r="FT163" s="119"/>
      <c r="FU163" s="119"/>
      <c r="FV163" s="119"/>
      <c r="FW163" s="119"/>
      <c r="FX163" s="119"/>
      <c r="FY163" s="119"/>
      <c r="FZ163" s="119"/>
      <c r="GA163" s="119"/>
      <c r="GB163" s="119"/>
      <c r="GC163" s="119"/>
      <c r="GD163" s="119"/>
      <c r="GE163" s="119"/>
      <c r="GF163" s="119"/>
      <c r="GG163" s="119"/>
      <c r="GH163" s="119"/>
      <c r="GI163" s="119"/>
      <c r="GJ163" s="119"/>
      <c r="GK163" s="119"/>
      <c r="GL163" s="119"/>
      <c r="GM163" s="119"/>
      <c r="GN163" s="119"/>
      <c r="GO163" s="119"/>
      <c r="GP163" s="119"/>
      <c r="GQ163" s="119"/>
      <c r="GR163" s="119"/>
      <c r="GS163" s="119"/>
      <c r="GT163" s="119"/>
      <c r="GU163" s="119"/>
      <c r="GV163" s="119"/>
      <c r="GW163" s="119"/>
      <c r="GX163" s="119"/>
      <c r="GY163" s="119"/>
      <c r="GZ163" s="119"/>
      <c r="HA163" s="119"/>
      <c r="HB163" s="119"/>
      <c r="HC163" s="119"/>
      <c r="HD163" s="119"/>
      <c r="HE163" s="119"/>
      <c r="HF163" s="119"/>
      <c r="HG163" s="119"/>
      <c r="HH163" s="119"/>
      <c r="HI163" s="119"/>
      <c r="HJ163" s="119"/>
      <c r="HK163" s="119"/>
      <c r="HL163" s="119"/>
      <c r="HM163" s="119"/>
      <c r="HN163" s="119"/>
      <c r="HO163" s="119"/>
      <c r="HP163" s="119"/>
      <c r="HQ163" s="119"/>
      <c r="HR163" s="119"/>
      <c r="HS163" s="119"/>
      <c r="HT163" s="119"/>
      <c r="HU163" s="119"/>
      <c r="HV163" s="119"/>
      <c r="HW163" s="119"/>
      <c r="HX163" s="119"/>
      <c r="HY163" s="119"/>
      <c r="HZ163" s="119"/>
      <c r="IA163" s="119"/>
      <c r="IB163" s="119"/>
      <c r="IC163" s="119"/>
      <c r="ID163" s="119"/>
      <c r="IE163" s="119"/>
      <c r="IF163" s="119"/>
      <c r="IG163" s="119"/>
      <c r="IH163" s="119"/>
      <c r="II163" s="119"/>
      <c r="IJ163" s="119"/>
      <c r="IK163" s="119"/>
      <c r="IL163" s="119"/>
      <c r="IM163" s="119"/>
      <c r="IN163" s="119"/>
      <c r="IO163" s="119"/>
      <c r="IP163" s="119"/>
      <c r="IQ163" s="119"/>
      <c r="IR163" s="119"/>
      <c r="IS163" s="119"/>
      <c r="IT163" s="119"/>
      <c r="IU163" s="119"/>
      <c r="IV163" s="119"/>
      <c r="IW163" s="119"/>
    </row>
    <row r="164" spans="1:257" s="187" customFormat="1" ht="51.75" customHeight="1" x14ac:dyDescent="0.35">
      <c r="A164" s="195">
        <v>155</v>
      </c>
      <c r="B164" s="692"/>
      <c r="C164" s="120">
        <v>53</v>
      </c>
      <c r="D164" s="688" t="s">
        <v>1030</v>
      </c>
      <c r="E164" s="127">
        <f>F164+G164+P166</f>
        <v>303610</v>
      </c>
      <c r="F164" s="127"/>
      <c r="G164" s="693"/>
      <c r="H164" s="224" t="s">
        <v>24</v>
      </c>
      <c r="I164" s="559"/>
      <c r="J164" s="559"/>
      <c r="K164" s="559"/>
      <c r="L164" s="559"/>
      <c r="M164" s="559"/>
      <c r="N164" s="559"/>
      <c r="O164" s="1795"/>
      <c r="P164" s="1275"/>
      <c r="Q164" s="694"/>
      <c r="R164" s="1812"/>
      <c r="S164" s="119"/>
      <c r="T164" s="119"/>
      <c r="U164" s="119"/>
      <c r="V164" s="119"/>
      <c r="W164" s="119"/>
      <c r="X164" s="119"/>
      <c r="Y164" s="119"/>
      <c r="Z164" s="119"/>
      <c r="AA164" s="119"/>
      <c r="AB164" s="119"/>
      <c r="AC164" s="119"/>
      <c r="AD164" s="119"/>
      <c r="AE164" s="119"/>
      <c r="AF164" s="119"/>
      <c r="AG164" s="119"/>
      <c r="AH164" s="119"/>
      <c r="AI164" s="119"/>
      <c r="AJ164" s="119"/>
      <c r="AK164" s="119"/>
      <c r="AL164" s="119"/>
      <c r="AM164" s="119"/>
      <c r="AN164" s="119"/>
      <c r="AO164" s="119"/>
      <c r="AP164" s="119"/>
      <c r="AQ164" s="119"/>
      <c r="AR164" s="119"/>
      <c r="AS164" s="119"/>
      <c r="AT164" s="119"/>
      <c r="AU164" s="119"/>
      <c r="AV164" s="119"/>
      <c r="AW164" s="119"/>
      <c r="AX164" s="119"/>
      <c r="AY164" s="119"/>
      <c r="AZ164" s="119"/>
      <c r="BA164" s="119"/>
      <c r="BB164" s="119"/>
      <c r="BC164" s="119"/>
      <c r="BD164" s="119"/>
      <c r="BE164" s="119"/>
      <c r="BF164" s="119"/>
      <c r="BG164" s="119"/>
      <c r="BH164" s="119"/>
      <c r="BI164" s="119"/>
      <c r="BJ164" s="119"/>
      <c r="BK164" s="119"/>
      <c r="BL164" s="119"/>
      <c r="BM164" s="119"/>
      <c r="BN164" s="119"/>
      <c r="BO164" s="119"/>
      <c r="BP164" s="119"/>
      <c r="BQ164" s="119"/>
      <c r="BR164" s="119"/>
      <c r="BS164" s="119"/>
      <c r="BT164" s="119"/>
      <c r="BU164" s="119"/>
      <c r="BV164" s="119"/>
      <c r="BW164" s="119"/>
      <c r="BX164" s="119"/>
      <c r="BY164" s="119"/>
      <c r="BZ164" s="119"/>
      <c r="CA164" s="119"/>
      <c r="CB164" s="119"/>
      <c r="CC164" s="119"/>
      <c r="CD164" s="119"/>
      <c r="CE164" s="119"/>
      <c r="CF164" s="119"/>
      <c r="CG164" s="119"/>
      <c r="CH164" s="119"/>
      <c r="CI164" s="119"/>
      <c r="CJ164" s="119"/>
      <c r="CK164" s="119"/>
      <c r="CL164" s="119"/>
      <c r="CM164" s="119"/>
      <c r="CN164" s="119"/>
      <c r="CO164" s="119"/>
      <c r="CP164" s="119"/>
      <c r="CQ164" s="119"/>
      <c r="CR164" s="119"/>
      <c r="CS164" s="119"/>
      <c r="CT164" s="119"/>
      <c r="CU164" s="119"/>
      <c r="CV164" s="119"/>
      <c r="CW164" s="119"/>
      <c r="CX164" s="119"/>
      <c r="CY164" s="119"/>
      <c r="CZ164" s="119"/>
      <c r="DA164" s="119"/>
      <c r="DB164" s="119"/>
      <c r="DC164" s="119"/>
      <c r="DD164" s="119"/>
      <c r="DE164" s="119"/>
      <c r="DF164" s="119"/>
      <c r="DG164" s="119"/>
      <c r="DH164" s="119"/>
      <c r="DI164" s="119"/>
      <c r="DJ164" s="119"/>
      <c r="DK164" s="119"/>
      <c r="DL164" s="119"/>
      <c r="DM164" s="119"/>
      <c r="DN164" s="119"/>
      <c r="DO164" s="119"/>
      <c r="DP164" s="119"/>
      <c r="DQ164" s="119"/>
      <c r="DR164" s="119"/>
      <c r="DS164" s="119"/>
      <c r="DT164" s="119"/>
      <c r="DU164" s="119"/>
      <c r="DV164" s="119"/>
      <c r="DW164" s="119"/>
      <c r="DX164" s="119"/>
      <c r="DY164" s="119"/>
      <c r="DZ164" s="119"/>
      <c r="EA164" s="119"/>
      <c r="EB164" s="119"/>
      <c r="EC164" s="119"/>
      <c r="ED164" s="119"/>
      <c r="EE164" s="119"/>
      <c r="EF164" s="119"/>
      <c r="EG164" s="119"/>
      <c r="EH164" s="119"/>
      <c r="EI164" s="119"/>
      <c r="EJ164" s="119"/>
      <c r="EK164" s="119"/>
      <c r="EL164" s="119"/>
      <c r="EM164" s="119"/>
      <c r="EN164" s="119"/>
      <c r="EO164" s="119"/>
      <c r="EP164" s="119"/>
      <c r="EQ164" s="119"/>
      <c r="ER164" s="119"/>
      <c r="ES164" s="119"/>
      <c r="ET164" s="119"/>
      <c r="EU164" s="119"/>
      <c r="EV164" s="119"/>
      <c r="EW164" s="119"/>
      <c r="EX164" s="119"/>
      <c r="EY164" s="119"/>
      <c r="EZ164" s="119"/>
      <c r="FA164" s="119"/>
      <c r="FB164" s="119"/>
      <c r="FC164" s="119"/>
      <c r="FD164" s="119"/>
      <c r="FE164" s="119"/>
      <c r="FF164" s="119"/>
      <c r="FG164" s="119"/>
      <c r="FH164" s="119"/>
      <c r="FI164" s="119"/>
      <c r="FJ164" s="119"/>
      <c r="FK164" s="119"/>
      <c r="FL164" s="119"/>
      <c r="FM164" s="119"/>
      <c r="FN164" s="119"/>
      <c r="FO164" s="119"/>
      <c r="FP164" s="119"/>
      <c r="FQ164" s="119"/>
      <c r="FR164" s="119"/>
      <c r="FS164" s="119"/>
      <c r="FT164" s="119"/>
      <c r="FU164" s="119"/>
      <c r="FV164" s="119"/>
      <c r="FW164" s="119"/>
      <c r="FX164" s="119"/>
      <c r="FY164" s="119"/>
      <c r="FZ164" s="119"/>
      <c r="GA164" s="119"/>
      <c r="GB164" s="119"/>
      <c r="GC164" s="119"/>
      <c r="GD164" s="119"/>
      <c r="GE164" s="119"/>
      <c r="GF164" s="119"/>
      <c r="GG164" s="119"/>
      <c r="GH164" s="119"/>
      <c r="GI164" s="119"/>
      <c r="GJ164" s="119"/>
      <c r="GK164" s="119"/>
      <c r="GL164" s="119"/>
      <c r="GM164" s="119"/>
      <c r="GN164" s="119"/>
      <c r="GO164" s="119"/>
      <c r="GP164" s="119"/>
      <c r="GQ164" s="119"/>
      <c r="GR164" s="119"/>
      <c r="GS164" s="119"/>
      <c r="GT164" s="119"/>
      <c r="GU164" s="119"/>
      <c r="GV164" s="119"/>
      <c r="GW164" s="119"/>
      <c r="GX164" s="119"/>
      <c r="GY164" s="119"/>
      <c r="GZ164" s="119"/>
      <c r="HA164" s="119"/>
      <c r="HB164" s="119"/>
      <c r="HC164" s="119"/>
      <c r="HD164" s="119"/>
      <c r="HE164" s="119"/>
      <c r="HF164" s="119"/>
      <c r="HG164" s="119"/>
      <c r="HH164" s="119"/>
      <c r="HI164" s="119"/>
      <c r="HJ164" s="119"/>
      <c r="HK164" s="119"/>
      <c r="HL164" s="119"/>
      <c r="HM164" s="119"/>
      <c r="HN164" s="119"/>
      <c r="HO164" s="119"/>
      <c r="HP164" s="119"/>
      <c r="HQ164" s="119"/>
      <c r="HR164" s="119"/>
      <c r="HS164" s="119"/>
      <c r="HT164" s="119"/>
      <c r="HU164" s="119"/>
      <c r="HV164" s="119"/>
      <c r="HW164" s="119"/>
      <c r="HX164" s="119"/>
      <c r="HY164" s="119"/>
      <c r="HZ164" s="119"/>
      <c r="IA164" s="119"/>
      <c r="IB164" s="119"/>
      <c r="IC164" s="119"/>
      <c r="ID164" s="119"/>
      <c r="IE164" s="119"/>
      <c r="IF164" s="119"/>
      <c r="IG164" s="119"/>
      <c r="IH164" s="119"/>
      <c r="II164" s="119"/>
      <c r="IJ164" s="119"/>
      <c r="IK164" s="119"/>
      <c r="IL164" s="119"/>
      <c r="IM164" s="119"/>
      <c r="IN164" s="119"/>
      <c r="IO164" s="119"/>
      <c r="IP164" s="119"/>
      <c r="IQ164" s="119"/>
      <c r="IR164" s="119"/>
      <c r="IS164" s="119"/>
      <c r="IT164" s="119"/>
      <c r="IU164" s="119"/>
      <c r="IV164" s="119"/>
      <c r="IW164" s="119"/>
    </row>
    <row r="165" spans="1:257" s="187" customFormat="1" ht="18" customHeight="1" x14ac:dyDescent="0.35">
      <c r="A165" s="195">
        <v>156</v>
      </c>
      <c r="B165" s="692"/>
      <c r="C165" s="120"/>
      <c r="D165" s="1265" t="s">
        <v>656</v>
      </c>
      <c r="E165" s="127"/>
      <c r="F165" s="127"/>
      <c r="G165" s="693"/>
      <c r="H165" s="224"/>
      <c r="I165" s="559"/>
      <c r="J165" s="559"/>
      <c r="K165" s="1282">
        <v>12249</v>
      </c>
      <c r="L165" s="1282"/>
      <c r="M165" s="1282">
        <v>291361</v>
      </c>
      <c r="N165" s="559"/>
      <c r="O165" s="1795"/>
      <c r="P165" s="1276">
        <f>SUM(I165:O165)</f>
        <v>303610</v>
      </c>
      <c r="Q165" s="694"/>
      <c r="R165" s="119"/>
      <c r="S165" s="119"/>
      <c r="T165" s="119"/>
      <c r="U165" s="119"/>
      <c r="V165" s="119"/>
      <c r="W165" s="119"/>
      <c r="X165" s="119"/>
      <c r="Y165" s="119"/>
      <c r="Z165" s="119"/>
      <c r="AA165" s="119"/>
      <c r="AB165" s="119"/>
      <c r="AC165" s="119"/>
      <c r="AD165" s="119"/>
      <c r="AE165" s="119"/>
      <c r="AF165" s="119"/>
      <c r="AG165" s="119"/>
      <c r="AH165" s="119"/>
      <c r="AI165" s="119"/>
      <c r="AJ165" s="119"/>
      <c r="AK165" s="119"/>
      <c r="AL165" s="119"/>
      <c r="AM165" s="119"/>
      <c r="AN165" s="119"/>
      <c r="AO165" s="119"/>
      <c r="AP165" s="119"/>
      <c r="AQ165" s="119"/>
      <c r="AR165" s="119"/>
      <c r="AS165" s="119"/>
      <c r="AT165" s="119"/>
      <c r="AU165" s="119"/>
      <c r="AV165" s="119"/>
      <c r="AW165" s="119"/>
      <c r="AX165" s="119"/>
      <c r="AY165" s="119"/>
      <c r="AZ165" s="119"/>
      <c r="BA165" s="119"/>
      <c r="BB165" s="119"/>
      <c r="BC165" s="119"/>
      <c r="BD165" s="119"/>
      <c r="BE165" s="119"/>
      <c r="BF165" s="119"/>
      <c r="BG165" s="119"/>
      <c r="BH165" s="119"/>
      <c r="BI165" s="119"/>
      <c r="BJ165" s="119"/>
      <c r="BK165" s="119"/>
      <c r="BL165" s="119"/>
      <c r="BM165" s="119"/>
      <c r="BN165" s="119"/>
      <c r="BO165" s="119"/>
      <c r="BP165" s="119"/>
      <c r="BQ165" s="119"/>
      <c r="BR165" s="119"/>
      <c r="BS165" s="119"/>
      <c r="BT165" s="119"/>
      <c r="BU165" s="119"/>
      <c r="BV165" s="119"/>
      <c r="BW165" s="119"/>
      <c r="BX165" s="119"/>
      <c r="BY165" s="119"/>
      <c r="BZ165" s="119"/>
      <c r="CA165" s="119"/>
      <c r="CB165" s="119"/>
      <c r="CC165" s="119"/>
      <c r="CD165" s="119"/>
      <c r="CE165" s="119"/>
      <c r="CF165" s="119"/>
      <c r="CG165" s="119"/>
      <c r="CH165" s="119"/>
      <c r="CI165" s="119"/>
      <c r="CJ165" s="119"/>
      <c r="CK165" s="119"/>
      <c r="CL165" s="119"/>
      <c r="CM165" s="119"/>
      <c r="CN165" s="119"/>
      <c r="CO165" s="119"/>
      <c r="CP165" s="119"/>
      <c r="CQ165" s="119"/>
      <c r="CR165" s="119"/>
      <c r="CS165" s="119"/>
      <c r="CT165" s="119"/>
      <c r="CU165" s="119"/>
      <c r="CV165" s="119"/>
      <c r="CW165" s="119"/>
      <c r="CX165" s="119"/>
      <c r="CY165" s="119"/>
      <c r="CZ165" s="119"/>
      <c r="DA165" s="119"/>
      <c r="DB165" s="119"/>
      <c r="DC165" s="119"/>
      <c r="DD165" s="119"/>
      <c r="DE165" s="119"/>
      <c r="DF165" s="119"/>
      <c r="DG165" s="119"/>
      <c r="DH165" s="119"/>
      <c r="DI165" s="119"/>
      <c r="DJ165" s="119"/>
      <c r="DK165" s="119"/>
      <c r="DL165" s="119"/>
      <c r="DM165" s="119"/>
      <c r="DN165" s="119"/>
      <c r="DO165" s="119"/>
      <c r="DP165" s="119"/>
      <c r="DQ165" s="119"/>
      <c r="DR165" s="119"/>
      <c r="DS165" s="119"/>
      <c r="DT165" s="119"/>
      <c r="DU165" s="119"/>
      <c r="DV165" s="119"/>
      <c r="DW165" s="119"/>
      <c r="DX165" s="119"/>
      <c r="DY165" s="119"/>
      <c r="DZ165" s="119"/>
      <c r="EA165" s="119"/>
      <c r="EB165" s="119"/>
      <c r="EC165" s="119"/>
      <c r="ED165" s="119"/>
      <c r="EE165" s="119"/>
      <c r="EF165" s="119"/>
      <c r="EG165" s="119"/>
      <c r="EH165" s="119"/>
      <c r="EI165" s="119"/>
      <c r="EJ165" s="119"/>
      <c r="EK165" s="119"/>
      <c r="EL165" s="119"/>
      <c r="EM165" s="119"/>
      <c r="EN165" s="119"/>
      <c r="EO165" s="119"/>
      <c r="EP165" s="119"/>
      <c r="EQ165" s="119"/>
      <c r="ER165" s="119"/>
      <c r="ES165" s="119"/>
      <c r="ET165" s="119"/>
      <c r="EU165" s="119"/>
      <c r="EV165" s="119"/>
      <c r="EW165" s="119"/>
      <c r="EX165" s="119"/>
      <c r="EY165" s="119"/>
      <c r="EZ165" s="119"/>
      <c r="FA165" s="119"/>
      <c r="FB165" s="119"/>
      <c r="FC165" s="119"/>
      <c r="FD165" s="119"/>
      <c r="FE165" s="119"/>
      <c r="FF165" s="119"/>
      <c r="FG165" s="119"/>
      <c r="FH165" s="119"/>
      <c r="FI165" s="119"/>
      <c r="FJ165" s="119"/>
      <c r="FK165" s="119"/>
      <c r="FL165" s="119"/>
      <c r="FM165" s="119"/>
      <c r="FN165" s="119"/>
      <c r="FO165" s="119"/>
      <c r="FP165" s="119"/>
      <c r="FQ165" s="119"/>
      <c r="FR165" s="119"/>
      <c r="FS165" s="119"/>
      <c r="FT165" s="119"/>
      <c r="FU165" s="119"/>
      <c r="FV165" s="119"/>
      <c r="FW165" s="119"/>
      <c r="FX165" s="119"/>
      <c r="FY165" s="119"/>
      <c r="FZ165" s="119"/>
      <c r="GA165" s="119"/>
      <c r="GB165" s="119"/>
      <c r="GC165" s="119"/>
      <c r="GD165" s="119"/>
      <c r="GE165" s="119"/>
      <c r="GF165" s="119"/>
      <c r="GG165" s="119"/>
      <c r="GH165" s="119"/>
      <c r="GI165" s="119"/>
      <c r="GJ165" s="119"/>
      <c r="GK165" s="119"/>
      <c r="GL165" s="119"/>
      <c r="GM165" s="119"/>
      <c r="GN165" s="119"/>
      <c r="GO165" s="119"/>
      <c r="GP165" s="119"/>
      <c r="GQ165" s="119"/>
      <c r="GR165" s="119"/>
      <c r="GS165" s="119"/>
      <c r="GT165" s="119"/>
      <c r="GU165" s="119"/>
      <c r="GV165" s="119"/>
      <c r="GW165" s="119"/>
      <c r="GX165" s="119"/>
      <c r="GY165" s="119"/>
      <c r="GZ165" s="119"/>
      <c r="HA165" s="119"/>
      <c r="HB165" s="119"/>
      <c r="HC165" s="119"/>
      <c r="HD165" s="119"/>
      <c r="HE165" s="119"/>
      <c r="HF165" s="119"/>
      <c r="HG165" s="119"/>
      <c r="HH165" s="119"/>
      <c r="HI165" s="119"/>
      <c r="HJ165" s="119"/>
      <c r="HK165" s="119"/>
      <c r="HL165" s="119"/>
      <c r="HM165" s="119"/>
      <c r="HN165" s="119"/>
      <c r="HO165" s="119"/>
      <c r="HP165" s="119"/>
      <c r="HQ165" s="119"/>
      <c r="HR165" s="119"/>
      <c r="HS165" s="119"/>
      <c r="HT165" s="119"/>
      <c r="HU165" s="119"/>
      <c r="HV165" s="119"/>
      <c r="HW165" s="119"/>
      <c r="HX165" s="119"/>
      <c r="HY165" s="119"/>
      <c r="HZ165" s="119"/>
      <c r="IA165" s="119"/>
      <c r="IB165" s="119"/>
      <c r="IC165" s="119"/>
      <c r="ID165" s="119"/>
      <c r="IE165" s="119"/>
      <c r="IF165" s="119"/>
      <c r="IG165" s="119"/>
      <c r="IH165" s="119"/>
      <c r="II165" s="119"/>
      <c r="IJ165" s="119"/>
      <c r="IK165" s="119"/>
      <c r="IL165" s="119"/>
      <c r="IM165" s="119"/>
      <c r="IN165" s="119"/>
      <c r="IO165" s="119"/>
      <c r="IP165" s="119"/>
      <c r="IQ165" s="119"/>
      <c r="IR165" s="119"/>
      <c r="IS165" s="119"/>
      <c r="IT165" s="119"/>
      <c r="IU165" s="119"/>
      <c r="IV165" s="119"/>
      <c r="IW165" s="119"/>
    </row>
    <row r="166" spans="1:257" s="187" customFormat="1" ht="18" customHeight="1" thickBot="1" x14ac:dyDescent="0.4">
      <c r="A166" s="195">
        <v>157</v>
      </c>
      <c r="B166" s="1828"/>
      <c r="C166" s="1829"/>
      <c r="D166" s="1269" t="s">
        <v>862</v>
      </c>
      <c r="E166" s="1830"/>
      <c r="F166" s="1830"/>
      <c r="G166" s="1831"/>
      <c r="H166" s="1832"/>
      <c r="I166" s="1833"/>
      <c r="J166" s="1833"/>
      <c r="K166" s="1833">
        <f>SUM(K165)</f>
        <v>12249</v>
      </c>
      <c r="L166" s="1833"/>
      <c r="M166" s="1833">
        <f t="shared" ref="M166" si="37">SUM(M165)</f>
        <v>291361</v>
      </c>
      <c r="N166" s="1833"/>
      <c r="O166" s="1834"/>
      <c r="P166" s="1835">
        <f>SUM(I166:O166)</f>
        <v>303610</v>
      </c>
      <c r="Q166" s="1836"/>
      <c r="R166" s="119"/>
      <c r="S166" s="119"/>
      <c r="T166" s="119"/>
      <c r="U166" s="119"/>
      <c r="V166" s="119"/>
      <c r="W166" s="119"/>
      <c r="X166" s="119"/>
      <c r="Y166" s="119"/>
      <c r="Z166" s="119"/>
      <c r="AA166" s="119"/>
      <c r="AB166" s="119"/>
      <c r="AC166" s="119"/>
      <c r="AD166" s="119"/>
      <c r="AE166" s="119"/>
      <c r="AF166" s="119"/>
      <c r="AG166" s="119"/>
      <c r="AH166" s="119"/>
      <c r="AI166" s="119"/>
      <c r="AJ166" s="119"/>
      <c r="AK166" s="119"/>
      <c r="AL166" s="119"/>
      <c r="AM166" s="119"/>
      <c r="AN166" s="119"/>
      <c r="AO166" s="119"/>
      <c r="AP166" s="119"/>
      <c r="AQ166" s="119"/>
      <c r="AR166" s="119"/>
      <c r="AS166" s="119"/>
      <c r="AT166" s="119"/>
      <c r="AU166" s="119"/>
      <c r="AV166" s="119"/>
      <c r="AW166" s="119"/>
      <c r="AX166" s="119"/>
      <c r="AY166" s="119"/>
      <c r="AZ166" s="119"/>
      <c r="BA166" s="119"/>
      <c r="BB166" s="119"/>
      <c r="BC166" s="119"/>
      <c r="BD166" s="119"/>
      <c r="BE166" s="119"/>
      <c r="BF166" s="119"/>
      <c r="BG166" s="119"/>
      <c r="BH166" s="119"/>
      <c r="BI166" s="119"/>
      <c r="BJ166" s="119"/>
      <c r="BK166" s="119"/>
      <c r="BL166" s="119"/>
      <c r="BM166" s="119"/>
      <c r="BN166" s="119"/>
      <c r="BO166" s="119"/>
      <c r="BP166" s="119"/>
      <c r="BQ166" s="119"/>
      <c r="BR166" s="119"/>
      <c r="BS166" s="119"/>
      <c r="BT166" s="119"/>
      <c r="BU166" s="119"/>
      <c r="BV166" s="119"/>
      <c r="BW166" s="119"/>
      <c r="BX166" s="119"/>
      <c r="BY166" s="119"/>
      <c r="BZ166" s="119"/>
      <c r="CA166" s="119"/>
      <c r="CB166" s="119"/>
      <c r="CC166" s="119"/>
      <c r="CD166" s="119"/>
      <c r="CE166" s="119"/>
      <c r="CF166" s="119"/>
      <c r="CG166" s="119"/>
      <c r="CH166" s="119"/>
      <c r="CI166" s="119"/>
      <c r="CJ166" s="119"/>
      <c r="CK166" s="119"/>
      <c r="CL166" s="119"/>
      <c r="CM166" s="119"/>
      <c r="CN166" s="119"/>
      <c r="CO166" s="119"/>
      <c r="CP166" s="119"/>
      <c r="CQ166" s="119"/>
      <c r="CR166" s="119"/>
      <c r="CS166" s="119"/>
      <c r="CT166" s="119"/>
      <c r="CU166" s="119"/>
      <c r="CV166" s="119"/>
      <c r="CW166" s="119"/>
      <c r="CX166" s="119"/>
      <c r="CY166" s="119"/>
      <c r="CZ166" s="119"/>
      <c r="DA166" s="119"/>
      <c r="DB166" s="119"/>
      <c r="DC166" s="119"/>
      <c r="DD166" s="119"/>
      <c r="DE166" s="119"/>
      <c r="DF166" s="119"/>
      <c r="DG166" s="119"/>
      <c r="DH166" s="119"/>
      <c r="DI166" s="119"/>
      <c r="DJ166" s="119"/>
      <c r="DK166" s="119"/>
      <c r="DL166" s="119"/>
      <c r="DM166" s="119"/>
      <c r="DN166" s="119"/>
      <c r="DO166" s="119"/>
      <c r="DP166" s="119"/>
      <c r="DQ166" s="119"/>
      <c r="DR166" s="119"/>
      <c r="DS166" s="119"/>
      <c r="DT166" s="119"/>
      <c r="DU166" s="119"/>
      <c r="DV166" s="119"/>
      <c r="DW166" s="119"/>
      <c r="DX166" s="119"/>
      <c r="DY166" s="119"/>
      <c r="DZ166" s="119"/>
      <c r="EA166" s="119"/>
      <c r="EB166" s="119"/>
      <c r="EC166" s="119"/>
      <c r="ED166" s="119"/>
      <c r="EE166" s="119"/>
      <c r="EF166" s="119"/>
      <c r="EG166" s="119"/>
      <c r="EH166" s="119"/>
      <c r="EI166" s="119"/>
      <c r="EJ166" s="119"/>
      <c r="EK166" s="119"/>
      <c r="EL166" s="119"/>
      <c r="EM166" s="119"/>
      <c r="EN166" s="119"/>
      <c r="EO166" s="119"/>
      <c r="EP166" s="119"/>
      <c r="EQ166" s="119"/>
      <c r="ER166" s="119"/>
      <c r="ES166" s="119"/>
      <c r="ET166" s="119"/>
      <c r="EU166" s="119"/>
      <c r="EV166" s="119"/>
      <c r="EW166" s="119"/>
      <c r="EX166" s="119"/>
      <c r="EY166" s="119"/>
      <c r="EZ166" s="119"/>
      <c r="FA166" s="119"/>
      <c r="FB166" s="119"/>
      <c r="FC166" s="119"/>
      <c r="FD166" s="119"/>
      <c r="FE166" s="119"/>
      <c r="FF166" s="119"/>
      <c r="FG166" s="119"/>
      <c r="FH166" s="119"/>
      <c r="FI166" s="119"/>
      <c r="FJ166" s="119"/>
      <c r="FK166" s="119"/>
      <c r="FL166" s="119"/>
      <c r="FM166" s="119"/>
      <c r="FN166" s="119"/>
      <c r="FO166" s="119"/>
      <c r="FP166" s="119"/>
      <c r="FQ166" s="119"/>
      <c r="FR166" s="119"/>
      <c r="FS166" s="119"/>
      <c r="FT166" s="119"/>
      <c r="FU166" s="119"/>
      <c r="FV166" s="119"/>
      <c r="FW166" s="119"/>
      <c r="FX166" s="119"/>
      <c r="FY166" s="119"/>
      <c r="FZ166" s="119"/>
      <c r="GA166" s="119"/>
      <c r="GB166" s="119"/>
      <c r="GC166" s="119"/>
      <c r="GD166" s="119"/>
      <c r="GE166" s="119"/>
      <c r="GF166" s="119"/>
      <c r="GG166" s="119"/>
      <c r="GH166" s="119"/>
      <c r="GI166" s="119"/>
      <c r="GJ166" s="119"/>
      <c r="GK166" s="119"/>
      <c r="GL166" s="119"/>
      <c r="GM166" s="119"/>
      <c r="GN166" s="119"/>
      <c r="GO166" s="119"/>
      <c r="GP166" s="119"/>
      <c r="GQ166" s="119"/>
      <c r="GR166" s="119"/>
      <c r="GS166" s="119"/>
      <c r="GT166" s="119"/>
      <c r="GU166" s="119"/>
      <c r="GV166" s="119"/>
      <c r="GW166" s="119"/>
      <c r="GX166" s="119"/>
      <c r="GY166" s="119"/>
      <c r="GZ166" s="119"/>
      <c r="HA166" s="119"/>
      <c r="HB166" s="119"/>
      <c r="HC166" s="119"/>
      <c r="HD166" s="119"/>
      <c r="HE166" s="119"/>
      <c r="HF166" s="119"/>
      <c r="HG166" s="119"/>
      <c r="HH166" s="119"/>
      <c r="HI166" s="119"/>
      <c r="HJ166" s="119"/>
      <c r="HK166" s="119"/>
      <c r="HL166" s="119"/>
      <c r="HM166" s="119"/>
      <c r="HN166" s="119"/>
      <c r="HO166" s="119"/>
      <c r="HP166" s="119"/>
      <c r="HQ166" s="119"/>
      <c r="HR166" s="119"/>
      <c r="HS166" s="119"/>
      <c r="HT166" s="119"/>
      <c r="HU166" s="119"/>
      <c r="HV166" s="119"/>
      <c r="HW166" s="119"/>
      <c r="HX166" s="119"/>
      <c r="HY166" s="119"/>
      <c r="HZ166" s="119"/>
      <c r="IA166" s="119"/>
      <c r="IB166" s="119"/>
      <c r="IC166" s="119"/>
      <c r="ID166" s="119"/>
      <c r="IE166" s="119"/>
      <c r="IF166" s="119"/>
      <c r="IG166" s="119"/>
      <c r="IH166" s="119"/>
      <c r="II166" s="119"/>
      <c r="IJ166" s="119"/>
      <c r="IK166" s="119"/>
      <c r="IL166" s="119"/>
      <c r="IM166" s="119"/>
      <c r="IN166" s="119"/>
      <c r="IO166" s="119"/>
      <c r="IP166" s="119"/>
      <c r="IQ166" s="119"/>
      <c r="IR166" s="119"/>
      <c r="IS166" s="119"/>
      <c r="IT166" s="119"/>
      <c r="IU166" s="119"/>
      <c r="IV166" s="119"/>
      <c r="IW166" s="119"/>
    </row>
    <row r="167" spans="1:257" s="187" customFormat="1" ht="27" customHeight="1" x14ac:dyDescent="0.35">
      <c r="A167" s="195">
        <v>158</v>
      </c>
      <c r="B167" s="2017" t="s">
        <v>13</v>
      </c>
      <c r="C167" s="2018"/>
      <c r="D167" s="2018"/>
      <c r="E167" s="2018"/>
      <c r="F167" s="2018"/>
      <c r="G167" s="2019"/>
      <c r="H167" s="560"/>
      <c r="I167" s="564"/>
      <c r="J167" s="564"/>
      <c r="K167" s="564"/>
      <c r="L167" s="564"/>
      <c r="M167" s="564"/>
      <c r="N167" s="565"/>
      <c r="O167" s="1796"/>
      <c r="P167" s="561"/>
      <c r="Q167" s="546"/>
      <c r="R167" s="119"/>
      <c r="S167" s="119"/>
      <c r="T167" s="119"/>
      <c r="U167" s="119"/>
      <c r="V167" s="119"/>
      <c r="W167" s="119"/>
      <c r="X167" s="119"/>
      <c r="Y167" s="119"/>
      <c r="Z167" s="119"/>
      <c r="AA167" s="119"/>
      <c r="AB167" s="119"/>
      <c r="AC167" s="119"/>
      <c r="AD167" s="119"/>
      <c r="AE167" s="119"/>
      <c r="AF167" s="119"/>
      <c r="AG167" s="119"/>
      <c r="AH167" s="119"/>
      <c r="AI167" s="119"/>
      <c r="AJ167" s="119"/>
      <c r="AK167" s="119"/>
      <c r="AL167" s="119"/>
      <c r="AM167" s="119"/>
      <c r="AN167" s="119"/>
      <c r="AO167" s="119"/>
      <c r="AP167" s="119"/>
      <c r="AQ167" s="119"/>
      <c r="AR167" s="119"/>
      <c r="AS167" s="119"/>
      <c r="AT167" s="119"/>
      <c r="AU167" s="119"/>
      <c r="AV167" s="119"/>
      <c r="AW167" s="119"/>
      <c r="AX167" s="119"/>
      <c r="AY167" s="119"/>
      <c r="AZ167" s="119"/>
      <c r="BA167" s="119"/>
      <c r="BB167" s="119"/>
      <c r="BC167" s="119"/>
      <c r="BD167" s="119"/>
      <c r="BE167" s="119"/>
      <c r="BF167" s="119"/>
      <c r="BG167" s="119"/>
      <c r="BH167" s="119"/>
      <c r="BI167" s="119"/>
      <c r="BJ167" s="119"/>
      <c r="BK167" s="119"/>
      <c r="BL167" s="119"/>
      <c r="BM167" s="119"/>
      <c r="BN167" s="119"/>
      <c r="BO167" s="119"/>
      <c r="BP167" s="119"/>
      <c r="BQ167" s="119"/>
      <c r="BR167" s="119"/>
      <c r="BS167" s="119"/>
      <c r="BT167" s="119"/>
      <c r="BU167" s="119"/>
      <c r="BV167" s="119"/>
      <c r="BW167" s="119"/>
      <c r="BX167" s="119"/>
      <c r="BY167" s="119"/>
      <c r="BZ167" s="119"/>
      <c r="CA167" s="119"/>
      <c r="CB167" s="119"/>
      <c r="CC167" s="119"/>
      <c r="CD167" s="119"/>
      <c r="CE167" s="119"/>
      <c r="CF167" s="119"/>
      <c r="CG167" s="119"/>
      <c r="CH167" s="119"/>
      <c r="CI167" s="119"/>
      <c r="CJ167" s="119"/>
      <c r="CK167" s="119"/>
      <c r="CL167" s="119"/>
      <c r="CM167" s="119"/>
      <c r="CN167" s="119"/>
      <c r="CO167" s="119"/>
      <c r="CP167" s="119"/>
      <c r="CQ167" s="119"/>
      <c r="CR167" s="119"/>
      <c r="CS167" s="119"/>
      <c r="CT167" s="119"/>
      <c r="CU167" s="119"/>
      <c r="CV167" s="119"/>
      <c r="CW167" s="119"/>
      <c r="CX167" s="119"/>
      <c r="CY167" s="119"/>
      <c r="CZ167" s="119"/>
      <c r="DA167" s="119"/>
      <c r="DB167" s="119"/>
      <c r="DC167" s="119"/>
      <c r="DD167" s="119"/>
      <c r="DE167" s="119"/>
      <c r="DF167" s="119"/>
      <c r="DG167" s="119"/>
      <c r="DH167" s="119"/>
      <c r="DI167" s="119"/>
      <c r="DJ167" s="119"/>
      <c r="DK167" s="119"/>
      <c r="DL167" s="119"/>
      <c r="DM167" s="119"/>
      <c r="DN167" s="119"/>
      <c r="DO167" s="119"/>
      <c r="DP167" s="119"/>
      <c r="DQ167" s="119"/>
      <c r="DR167" s="119"/>
      <c r="DS167" s="119"/>
      <c r="DT167" s="119"/>
      <c r="DU167" s="119"/>
      <c r="DV167" s="119"/>
      <c r="DW167" s="119"/>
      <c r="DX167" s="119"/>
      <c r="DY167" s="119"/>
      <c r="DZ167" s="119"/>
      <c r="EA167" s="119"/>
      <c r="EB167" s="119"/>
      <c r="EC167" s="119"/>
      <c r="ED167" s="119"/>
      <c r="EE167" s="119"/>
      <c r="EF167" s="119"/>
      <c r="EG167" s="119"/>
      <c r="EH167" s="119"/>
      <c r="EI167" s="119"/>
      <c r="EJ167" s="119"/>
      <c r="EK167" s="119"/>
      <c r="EL167" s="119"/>
      <c r="EM167" s="119"/>
      <c r="EN167" s="119"/>
      <c r="EO167" s="119"/>
      <c r="EP167" s="119"/>
      <c r="EQ167" s="119"/>
      <c r="ER167" s="119"/>
      <c r="ES167" s="119"/>
      <c r="ET167" s="119"/>
      <c r="EU167" s="119"/>
      <c r="EV167" s="119"/>
      <c r="EW167" s="119"/>
      <c r="EX167" s="119"/>
      <c r="EY167" s="119"/>
      <c r="EZ167" s="119"/>
      <c r="FA167" s="119"/>
      <c r="FB167" s="119"/>
      <c r="FC167" s="119"/>
      <c r="FD167" s="119"/>
      <c r="FE167" s="119"/>
      <c r="FF167" s="119"/>
      <c r="FG167" s="119"/>
      <c r="FH167" s="119"/>
      <c r="FI167" s="119"/>
      <c r="FJ167" s="119"/>
      <c r="FK167" s="119"/>
      <c r="FL167" s="119"/>
      <c r="FM167" s="119"/>
      <c r="FN167" s="119"/>
      <c r="FO167" s="119"/>
      <c r="FP167" s="119"/>
      <c r="FQ167" s="119"/>
      <c r="FR167" s="119"/>
      <c r="FS167" s="119"/>
      <c r="FT167" s="119"/>
      <c r="FU167" s="119"/>
      <c r="FV167" s="119"/>
      <c r="FW167" s="119"/>
      <c r="FX167" s="119"/>
      <c r="FY167" s="119"/>
      <c r="FZ167" s="119"/>
      <c r="GA167" s="119"/>
      <c r="GB167" s="119"/>
      <c r="GC167" s="119"/>
      <c r="GD167" s="119"/>
      <c r="GE167" s="119"/>
      <c r="GF167" s="119"/>
      <c r="GG167" s="119"/>
      <c r="GH167" s="119"/>
      <c r="GI167" s="119"/>
      <c r="GJ167" s="119"/>
      <c r="GK167" s="119"/>
      <c r="GL167" s="119"/>
      <c r="GM167" s="119"/>
      <c r="GN167" s="119"/>
      <c r="GO167" s="119"/>
      <c r="GP167" s="119"/>
      <c r="GQ167" s="119"/>
      <c r="GR167" s="119"/>
      <c r="GS167" s="119"/>
      <c r="GT167" s="119"/>
      <c r="GU167" s="119"/>
      <c r="GV167" s="119"/>
      <c r="GW167" s="119"/>
      <c r="GX167" s="119"/>
      <c r="GY167" s="119"/>
      <c r="GZ167" s="119"/>
      <c r="HA167" s="119"/>
      <c r="HB167" s="119"/>
      <c r="HC167" s="119"/>
      <c r="HD167" s="119"/>
      <c r="HE167" s="119"/>
      <c r="HF167" s="119"/>
      <c r="HG167" s="119"/>
      <c r="HH167" s="119"/>
      <c r="HI167" s="119"/>
      <c r="HJ167" s="119"/>
      <c r="HK167" s="119"/>
      <c r="HL167" s="119"/>
      <c r="HM167" s="119"/>
      <c r="HN167" s="119"/>
      <c r="HO167" s="119"/>
      <c r="HP167" s="119"/>
      <c r="HQ167" s="119"/>
      <c r="HR167" s="119"/>
      <c r="HS167" s="119"/>
      <c r="HT167" s="119"/>
      <c r="HU167" s="119"/>
      <c r="HV167" s="119"/>
      <c r="HW167" s="119"/>
      <c r="HX167" s="119"/>
      <c r="HY167" s="119"/>
      <c r="HZ167" s="119"/>
      <c r="IA167" s="119"/>
      <c r="IB167" s="119"/>
      <c r="IC167" s="119"/>
      <c r="ID167" s="119"/>
      <c r="IE167" s="119"/>
      <c r="IF167" s="119"/>
      <c r="IG167" s="119"/>
      <c r="IH167" s="119"/>
      <c r="II167" s="119"/>
      <c r="IJ167" s="119"/>
      <c r="IK167" s="119"/>
      <c r="IL167" s="119"/>
      <c r="IM167" s="119"/>
      <c r="IN167" s="119"/>
      <c r="IO167" s="119"/>
      <c r="IP167" s="119"/>
      <c r="IQ167" s="119"/>
      <c r="IR167" s="119"/>
      <c r="IS167" s="119"/>
      <c r="IT167" s="119"/>
      <c r="IU167" s="119"/>
      <c r="IV167" s="119"/>
      <c r="IW167" s="119"/>
    </row>
    <row r="168" spans="1:257" s="122" customFormat="1" ht="20.100000000000001" customHeight="1" x14ac:dyDescent="0.35">
      <c r="A168" s="195">
        <v>159</v>
      </c>
      <c r="B168" s="1250"/>
      <c r="C168" s="1251"/>
      <c r="D168" s="237" t="s">
        <v>245</v>
      </c>
      <c r="E168" s="1258"/>
      <c r="F168" s="1258"/>
      <c r="G168" s="1252"/>
      <c r="H168" s="1253"/>
      <c r="I168" s="1254">
        <f t="shared" ref="I168:O168" si="38">I72+I67+I62+I57+I52+I47+I42+I37+I32+I27+I22+I17+I12+I77+I82+I87+I92+I102+I97</f>
        <v>1309</v>
      </c>
      <c r="J168" s="1254">
        <f t="shared" si="38"/>
        <v>103</v>
      </c>
      <c r="K168" s="1254">
        <f t="shared" si="38"/>
        <v>219724</v>
      </c>
      <c r="L168" s="1254">
        <f t="shared" si="38"/>
        <v>0</v>
      </c>
      <c r="M168" s="1254">
        <f t="shared" si="38"/>
        <v>5345180</v>
      </c>
      <c r="N168" s="1254">
        <f t="shared" si="38"/>
        <v>64</v>
      </c>
      <c r="O168" s="1254">
        <f t="shared" si="38"/>
        <v>0</v>
      </c>
      <c r="P168" s="1255">
        <f>SUM(I168:N168)</f>
        <v>5566380</v>
      </c>
      <c r="Q168" s="1256">
        <f>SUM(Q10:Q72)</f>
        <v>151382</v>
      </c>
    </row>
    <row r="169" spans="1:257" s="122" customFormat="1" ht="20.100000000000001" customHeight="1" x14ac:dyDescent="0.35">
      <c r="A169" s="195">
        <v>160</v>
      </c>
      <c r="B169" s="1250"/>
      <c r="C169" s="1251"/>
      <c r="D169" s="1266" t="s">
        <v>808</v>
      </c>
      <c r="E169" s="1258"/>
      <c r="F169" s="1258"/>
      <c r="G169" s="1252"/>
      <c r="H169" s="1425"/>
      <c r="I169" s="1427">
        <f t="shared" ref="I169:O169" si="39">I73+I68+I63+I58+I53+I48+I43+I38+I33+I28+I23+I18+I13+I78+I83+I88+I93+I103+I98+I107+I111+I115+I119+I123+I127+I131</f>
        <v>1884</v>
      </c>
      <c r="J169" s="1427">
        <f t="shared" si="39"/>
        <v>421</v>
      </c>
      <c r="K169" s="1427">
        <f t="shared" si="39"/>
        <v>188296</v>
      </c>
      <c r="L169" s="1427">
        <f t="shared" si="39"/>
        <v>0</v>
      </c>
      <c r="M169" s="1427">
        <f t="shared" si="39"/>
        <v>5567452</v>
      </c>
      <c r="N169" s="1427">
        <f t="shared" si="39"/>
        <v>64</v>
      </c>
      <c r="O169" s="1427">
        <f t="shared" si="39"/>
        <v>0</v>
      </c>
      <c r="P169" s="1428">
        <f>SUM(I169:N169)</f>
        <v>5758117</v>
      </c>
      <c r="Q169" s="1426"/>
    </row>
    <row r="170" spans="1:257" s="122" customFormat="1" ht="20.100000000000001" customHeight="1" x14ac:dyDescent="0.35">
      <c r="A170" s="195">
        <v>161</v>
      </c>
      <c r="B170" s="1257"/>
      <c r="C170" s="1258"/>
      <c r="D170" s="1265" t="s">
        <v>656</v>
      </c>
      <c r="E170" s="1258"/>
      <c r="F170" s="1258"/>
      <c r="G170" s="1263"/>
      <c r="H170" s="1261"/>
      <c r="I170" s="1291">
        <f t="shared" ref="I170:O170" si="40">I74+I69+I64+I59+I54+I49+I44+I39+I34+I29+I24+I19+I14+I79+I84+I89+I94+I104+I99+I108+I112+I116+I120+I124+I128+I132+I135+I138+I141+I144+I147+I150+I153+I156+I159+I162+I165</f>
        <v>43</v>
      </c>
      <c r="J170" s="1291">
        <f t="shared" si="40"/>
        <v>15</v>
      </c>
      <c r="K170" s="1291">
        <f t="shared" si="40"/>
        <v>224548</v>
      </c>
      <c r="L170" s="1291">
        <f t="shared" si="40"/>
        <v>10000</v>
      </c>
      <c r="M170" s="1291">
        <f t="shared" si="40"/>
        <v>3744026</v>
      </c>
      <c r="N170" s="1291">
        <f t="shared" si="40"/>
        <v>0</v>
      </c>
      <c r="O170" s="1291">
        <f t="shared" si="40"/>
        <v>86000</v>
      </c>
      <c r="P170" s="1292">
        <f>SUM(I170:N170)</f>
        <v>3978632</v>
      </c>
      <c r="Q170" s="1259"/>
    </row>
    <row r="171" spans="1:257" s="122" customFormat="1" ht="20.100000000000001" customHeight="1" thickBot="1" x14ac:dyDescent="0.4">
      <c r="A171" s="195">
        <v>162</v>
      </c>
      <c r="B171" s="562"/>
      <c r="C171" s="563"/>
      <c r="D171" s="1269" t="s">
        <v>862</v>
      </c>
      <c r="E171" s="563"/>
      <c r="F171" s="563"/>
      <c r="G171" s="1264"/>
      <c r="H171" s="1262"/>
      <c r="I171" s="1289">
        <f>SUM(I169:I170)</f>
        <v>1927</v>
      </c>
      <c r="J171" s="1289">
        <f t="shared" ref="J171:O171" si="41">SUM(J169:J170)</f>
        <v>436</v>
      </c>
      <c r="K171" s="1289">
        <f t="shared" si="41"/>
        <v>412844</v>
      </c>
      <c r="L171" s="1289">
        <f t="shared" si="41"/>
        <v>10000</v>
      </c>
      <c r="M171" s="1289">
        <f t="shared" si="41"/>
        <v>9311478</v>
      </c>
      <c r="N171" s="1289">
        <f t="shared" si="41"/>
        <v>64</v>
      </c>
      <c r="O171" s="1289">
        <f t="shared" si="41"/>
        <v>86000</v>
      </c>
      <c r="P171" s="1290">
        <f t="shared" ref="P171" si="42">SUM(I171:N171)</f>
        <v>9736749</v>
      </c>
      <c r="Q171" s="1260"/>
    </row>
    <row r="172" spans="1:257" ht="18" customHeight="1" x14ac:dyDescent="0.35">
      <c r="B172" s="190" t="s">
        <v>25</v>
      </c>
      <c r="C172" s="191"/>
      <c r="D172" s="190"/>
      <c r="E172" s="129"/>
      <c r="F172" s="130"/>
      <c r="G172" s="129"/>
      <c r="H172" s="182"/>
      <c r="I172" s="129"/>
      <c r="J172" s="129"/>
      <c r="K172" s="129"/>
      <c r="L172" s="129"/>
      <c r="M172" s="129"/>
      <c r="N172" s="129"/>
      <c r="O172" s="129"/>
      <c r="P172" s="197"/>
    </row>
    <row r="173" spans="1:257" ht="18" customHeight="1" x14ac:dyDescent="0.35">
      <c r="B173" s="190" t="s">
        <v>26</v>
      </c>
      <c r="C173" s="191"/>
      <c r="D173" s="190"/>
      <c r="E173" s="174"/>
      <c r="F173" s="130"/>
      <c r="G173" s="129"/>
      <c r="H173" s="182"/>
      <c r="I173" s="129"/>
      <c r="J173" s="129"/>
      <c r="K173" s="129"/>
      <c r="L173" s="129"/>
      <c r="M173" s="129"/>
      <c r="N173" s="129"/>
      <c r="O173" s="129"/>
      <c r="P173" s="197"/>
    </row>
    <row r="174" spans="1:257" ht="18" customHeight="1" x14ac:dyDescent="0.35">
      <c r="B174" s="190" t="s">
        <v>27</v>
      </c>
      <c r="C174" s="191"/>
      <c r="D174" s="190"/>
      <c r="E174" s="174"/>
      <c r="F174" s="130"/>
      <c r="G174" s="129"/>
      <c r="H174" s="182"/>
      <c r="I174" s="129"/>
      <c r="J174" s="129"/>
      <c r="K174" s="129"/>
      <c r="L174" s="129"/>
      <c r="M174" s="129"/>
      <c r="N174" s="129"/>
      <c r="O174" s="129"/>
      <c r="P174" s="197"/>
    </row>
    <row r="175" spans="1:257" x14ac:dyDescent="0.35">
      <c r="B175" s="126" t="s">
        <v>338</v>
      </c>
      <c r="C175" s="126"/>
    </row>
  </sheetData>
  <mergeCells count="18">
    <mergeCell ref="R7:S7"/>
    <mergeCell ref="I2:Q2"/>
    <mergeCell ref="B7:B9"/>
    <mergeCell ref="E7:E9"/>
    <mergeCell ref="A3:Q3"/>
    <mergeCell ref="A4:Q4"/>
    <mergeCell ref="D7:D9"/>
    <mergeCell ref="F7:F9"/>
    <mergeCell ref="G7:G9"/>
    <mergeCell ref="I7:P7"/>
    <mergeCell ref="Q7:Q9"/>
    <mergeCell ref="I8:L8"/>
    <mergeCell ref="P8:P9"/>
    <mergeCell ref="B1:J1"/>
    <mergeCell ref="B167:G167"/>
    <mergeCell ref="C7:C9"/>
    <mergeCell ref="H7:H9"/>
    <mergeCell ref="M8:O8"/>
  </mergeCells>
  <printOptions horizontalCentered="1"/>
  <pageMargins left="0.19685039370078741" right="0.19685039370078741" top="0.59055118110236227" bottom="0.59055118110236227" header="0.51181102362204722" footer="0.51181102362204722"/>
  <pageSetup paperSize="9" scale="57" fitToHeight="0" orientation="landscape" r:id="rId1"/>
  <headerFooter>
    <oddFooter>&amp;C- &amp;P -</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Munkalapok</vt:lpstr>
      </vt:variant>
      <vt:variant>
        <vt:i4>14</vt:i4>
      </vt:variant>
      <vt:variant>
        <vt:lpstr>Névvel ellátott tartományok</vt:lpstr>
      </vt:variant>
      <vt:variant>
        <vt:i4>24</vt:i4>
      </vt:variant>
    </vt:vector>
  </HeadingPairs>
  <TitlesOfParts>
    <vt:vector size="38" baseType="lpstr">
      <vt:lpstr>1.Onbe</vt:lpstr>
      <vt:lpstr>2.Onki</vt:lpstr>
      <vt:lpstr>3.Inbe </vt:lpstr>
      <vt:lpstr>4.Inki</vt:lpstr>
      <vt:lpstr>5.Infelhki</vt:lpstr>
      <vt:lpstr>6.Önk.műk.</vt:lpstr>
      <vt:lpstr>7.Beruh.</vt:lpstr>
      <vt:lpstr>8.Felúj.</vt:lpstr>
      <vt:lpstr>9.Projekt</vt:lpstr>
      <vt:lpstr>10.Mérleg</vt:lpstr>
      <vt:lpstr>11.Létszám</vt:lpstr>
      <vt:lpstr>12.EU</vt:lpstr>
      <vt:lpstr>13.Összefoglaló_ei_átcsop</vt:lpstr>
      <vt:lpstr>14.Alap</vt:lpstr>
      <vt:lpstr>'1.Onbe'!Nyomtatási_cím</vt:lpstr>
      <vt:lpstr>'11.Létszám'!Nyomtatási_cím</vt:lpstr>
      <vt:lpstr>'12.EU'!Nyomtatási_cím</vt:lpstr>
      <vt:lpstr>'14.Alap'!Nyomtatási_cím</vt:lpstr>
      <vt:lpstr>'2.Onki'!Nyomtatási_cím</vt:lpstr>
      <vt:lpstr>'3.Inbe '!Nyomtatási_cím</vt:lpstr>
      <vt:lpstr>'4.Inki'!Nyomtatási_cím</vt:lpstr>
      <vt:lpstr>'5.Infelhki'!Nyomtatási_cím</vt:lpstr>
      <vt:lpstr>'6.Önk.műk.'!Nyomtatási_cím</vt:lpstr>
      <vt:lpstr>'7.Beruh.'!Nyomtatási_cím</vt:lpstr>
      <vt:lpstr>'8.Felúj.'!Nyomtatási_cím</vt:lpstr>
      <vt:lpstr>'9.Projekt'!Nyomtatási_cím</vt:lpstr>
      <vt:lpstr>'1.Onbe'!Nyomtatási_terület</vt:lpstr>
      <vt:lpstr>'10.Mérleg'!Nyomtatási_terület</vt:lpstr>
      <vt:lpstr>'11.Létszám'!Nyomtatási_terület</vt:lpstr>
      <vt:lpstr>'12.EU'!Nyomtatási_terület</vt:lpstr>
      <vt:lpstr>'13.Összefoglaló_ei_átcsop'!Nyomtatási_terület</vt:lpstr>
      <vt:lpstr>'14.Alap'!Nyomtatási_terület</vt:lpstr>
      <vt:lpstr>'2.Onki'!Nyomtatási_terület</vt:lpstr>
      <vt:lpstr>'3.Inbe '!Nyomtatási_terület</vt:lpstr>
      <vt:lpstr>'4.Inki'!Nyomtatási_terület</vt:lpstr>
      <vt:lpstr>'7.Beruh.'!Nyomtatási_terület</vt:lpstr>
      <vt:lpstr>'8.Felúj.'!Nyomtatási_terület</vt:lpstr>
      <vt:lpstr>'9.Projekt'!Nyomtatási_terület</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Schumacher Judit</dc:creator>
  <cp:lastModifiedBy>Szabó Balázs</cp:lastModifiedBy>
  <cp:lastPrinted>2025-09-11T07:23:10Z</cp:lastPrinted>
  <dcterms:created xsi:type="dcterms:W3CDTF">2015-02-11T07:38:58Z</dcterms:created>
  <dcterms:modified xsi:type="dcterms:W3CDTF">2026-03-03T14:59:06Z</dcterms:modified>
</cp:coreProperties>
</file>